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itoresearch.sharepoint.com/sites/2210637-hybride-wonen/Shared Documents/General/3 Werkdocumenten/Eindnota - Narratieven/250710_Aanzet eindnota-webpagina/Achtergronddocumentatie Website/"/>
    </mc:Choice>
  </mc:AlternateContent>
  <xr:revisionPtr revIDLastSave="0" documentId="8_{FAA371EF-AA4B-45A9-B813-E522FE6C8478}" xr6:coauthVersionLast="47" xr6:coauthVersionMax="47" xr10:uidLastSave="{00000000-0000-0000-0000-000000000000}"/>
  <bookViews>
    <workbookView xWindow="-108" yWindow="-108" windowWidth="23256" windowHeight="12456" firstSheet="3" activeTab="3" xr2:uid="{D58A7975-066E-46D0-A69F-070767C127A5}"/>
  </bookViews>
  <sheets>
    <sheet name="Cover" sheetId="1" r:id="rId1"/>
    <sheet name="Input&gt;&gt;" sheetId="2" r:id="rId2"/>
    <sheet name="Algemeen" sheetId="3" r:id="rId3"/>
    <sheet name="Projecten" sheetId="4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4" l="1"/>
  <c r="L109" i="4" s="1"/>
  <c r="K107" i="4"/>
  <c r="H117" i="4"/>
  <c r="P69" i="4"/>
  <c r="O69" i="4"/>
  <c r="N69" i="4"/>
  <c r="M69" i="4"/>
  <c r="L69" i="4"/>
  <c r="K69" i="4"/>
  <c r="J69" i="4"/>
  <c r="I69" i="4"/>
  <c r="H69" i="4"/>
  <c r="G69" i="4"/>
  <c r="P68" i="4"/>
  <c r="O68" i="4"/>
  <c r="N68" i="4"/>
  <c r="M68" i="4"/>
  <c r="L68" i="4"/>
  <c r="K68" i="4"/>
  <c r="J68" i="4"/>
  <c r="I68" i="4"/>
  <c r="H68" i="4"/>
  <c r="G68" i="4"/>
  <c r="P67" i="4"/>
  <c r="O67" i="4"/>
  <c r="N67" i="4"/>
  <c r="M67" i="4"/>
  <c r="L67" i="4"/>
  <c r="K67" i="4"/>
  <c r="J67" i="4"/>
  <c r="I67" i="4"/>
  <c r="H67" i="4"/>
  <c r="G67" i="4"/>
  <c r="P66" i="4"/>
  <c r="O66" i="4"/>
  <c r="N66" i="4"/>
  <c r="M66" i="4"/>
  <c r="L66" i="4"/>
  <c r="K66" i="4"/>
  <c r="J66" i="4"/>
  <c r="I66" i="4"/>
  <c r="H66" i="4"/>
  <c r="G66" i="4"/>
  <c r="L65" i="4"/>
  <c r="P111" i="4"/>
  <c r="O111" i="4"/>
  <c r="N111" i="4"/>
  <c r="M111" i="4"/>
  <c r="L111" i="4"/>
  <c r="K111" i="4"/>
  <c r="J111" i="4"/>
  <c r="I111" i="4"/>
  <c r="H111" i="4"/>
  <c r="G111" i="4"/>
  <c r="P110" i="4"/>
  <c r="O110" i="4"/>
  <c r="N110" i="4"/>
  <c r="M110" i="4"/>
  <c r="L110" i="4"/>
  <c r="K110" i="4"/>
  <c r="J110" i="4"/>
  <c r="I110" i="4"/>
  <c r="H110" i="4"/>
  <c r="G110" i="4"/>
  <c r="P109" i="4"/>
  <c r="O109" i="4"/>
  <c r="N109" i="4"/>
  <c r="M109" i="4"/>
  <c r="K109" i="4"/>
  <c r="J109" i="4"/>
  <c r="I109" i="4"/>
  <c r="H109" i="4"/>
  <c r="G109" i="4"/>
  <c r="P108" i="4"/>
  <c r="O108" i="4"/>
  <c r="N108" i="4"/>
  <c r="M108" i="4"/>
  <c r="K108" i="4"/>
  <c r="J108" i="4"/>
  <c r="I108" i="4"/>
  <c r="H108" i="4"/>
  <c r="G108" i="4"/>
  <c r="L108" i="4" l="1"/>
  <c r="G18" i="4" l="1"/>
  <c r="N86" i="4"/>
  <c r="M86" i="4"/>
  <c r="P86" i="4"/>
  <c r="O86" i="4"/>
  <c r="L86" i="4"/>
  <c r="K86" i="4"/>
  <c r="P165" i="4"/>
  <c r="O165" i="4"/>
  <c r="N165" i="4"/>
  <c r="M165" i="4"/>
  <c r="L165" i="4"/>
  <c r="K165" i="4"/>
  <c r="J165" i="4"/>
  <c r="I165" i="4"/>
  <c r="H165" i="4"/>
  <c r="G165" i="4"/>
  <c r="P164" i="4"/>
  <c r="O164" i="4"/>
  <c r="N164" i="4"/>
  <c r="M164" i="4"/>
  <c r="L164" i="4"/>
  <c r="K164" i="4"/>
  <c r="J164" i="4"/>
  <c r="I164" i="4"/>
  <c r="H164" i="4"/>
  <c r="G164" i="4"/>
  <c r="P160" i="4"/>
  <c r="O160" i="4"/>
  <c r="N160" i="4"/>
  <c r="M160" i="4"/>
  <c r="L160" i="4"/>
  <c r="K160" i="4"/>
  <c r="J160" i="4"/>
  <c r="I160" i="4"/>
  <c r="H160" i="4"/>
  <c r="G160" i="4"/>
  <c r="P159" i="4"/>
  <c r="O159" i="4"/>
  <c r="N159" i="4"/>
  <c r="M159" i="4"/>
  <c r="L159" i="4"/>
  <c r="K159" i="4"/>
  <c r="J159" i="4"/>
  <c r="I159" i="4"/>
  <c r="H159" i="4"/>
  <c r="G159" i="4"/>
  <c r="P155" i="4"/>
  <c r="O155" i="4"/>
  <c r="N155" i="4"/>
  <c r="M155" i="4"/>
  <c r="L155" i="4"/>
  <c r="K155" i="4"/>
  <c r="J155" i="4"/>
  <c r="I155" i="4"/>
  <c r="H155" i="4"/>
  <c r="G155" i="4"/>
  <c r="P154" i="4"/>
  <c r="O154" i="4"/>
  <c r="N154" i="4"/>
  <c r="M154" i="4"/>
  <c r="L154" i="4"/>
  <c r="K154" i="4"/>
  <c r="J154" i="4"/>
  <c r="I154" i="4"/>
  <c r="H154" i="4"/>
  <c r="G154" i="4"/>
  <c r="P150" i="4"/>
  <c r="O150" i="4"/>
  <c r="N150" i="4"/>
  <c r="M150" i="4"/>
  <c r="L150" i="4"/>
  <c r="K150" i="4"/>
  <c r="J150" i="4"/>
  <c r="I150" i="4"/>
  <c r="H150" i="4"/>
  <c r="G150" i="4"/>
  <c r="P149" i="4"/>
  <c r="O149" i="4"/>
  <c r="N149" i="4"/>
  <c r="M149" i="4"/>
  <c r="L149" i="4"/>
  <c r="K149" i="4"/>
  <c r="J149" i="4"/>
  <c r="I149" i="4"/>
  <c r="H149" i="4"/>
  <c r="G149" i="4"/>
  <c r="P145" i="4"/>
  <c r="O145" i="4"/>
  <c r="N145" i="4"/>
  <c r="M145" i="4"/>
  <c r="L145" i="4"/>
  <c r="K145" i="4"/>
  <c r="J145" i="4"/>
  <c r="I145" i="4"/>
  <c r="H145" i="4"/>
  <c r="G145" i="4"/>
  <c r="P144" i="4"/>
  <c r="O144" i="4"/>
  <c r="N144" i="4"/>
  <c r="M144" i="4"/>
  <c r="L144" i="4"/>
  <c r="K144" i="4"/>
  <c r="J144" i="4"/>
  <c r="I144" i="4"/>
  <c r="H144" i="4"/>
  <c r="G144" i="4"/>
  <c r="P140" i="4"/>
  <c r="O140" i="4"/>
  <c r="N140" i="4"/>
  <c r="M140" i="4"/>
  <c r="L140" i="4"/>
  <c r="K140" i="4"/>
  <c r="J140" i="4"/>
  <c r="I140" i="4"/>
  <c r="H140" i="4"/>
  <c r="G140" i="4"/>
  <c r="P139" i="4"/>
  <c r="O139" i="4"/>
  <c r="N139" i="4"/>
  <c r="M139" i="4"/>
  <c r="L139" i="4"/>
  <c r="K139" i="4"/>
  <c r="J139" i="4"/>
  <c r="I139" i="4"/>
  <c r="H139" i="4"/>
  <c r="G139" i="4"/>
  <c r="P135" i="4"/>
  <c r="O135" i="4"/>
  <c r="N135" i="4"/>
  <c r="M135" i="4"/>
  <c r="L135" i="4"/>
  <c r="K135" i="4"/>
  <c r="J135" i="4"/>
  <c r="I135" i="4"/>
  <c r="H135" i="4"/>
  <c r="G135" i="4"/>
  <c r="P130" i="4"/>
  <c r="O130" i="4"/>
  <c r="N130" i="4"/>
  <c r="M130" i="4"/>
  <c r="L130" i="4"/>
  <c r="K130" i="4"/>
  <c r="J130" i="4"/>
  <c r="I130" i="4"/>
  <c r="H130" i="4"/>
  <c r="G130" i="4"/>
  <c r="P134" i="4"/>
  <c r="O134" i="4"/>
  <c r="N134" i="4"/>
  <c r="M134" i="4"/>
  <c r="L134" i="4"/>
  <c r="K134" i="4"/>
  <c r="J134" i="4"/>
  <c r="I134" i="4"/>
  <c r="H134" i="4"/>
  <c r="G134" i="4"/>
  <c r="P129" i="4"/>
  <c r="O129" i="4"/>
  <c r="N129" i="4"/>
  <c r="M129" i="4"/>
  <c r="L129" i="4"/>
  <c r="K129" i="4"/>
  <c r="J129" i="4"/>
  <c r="I129" i="4"/>
  <c r="H129" i="4"/>
  <c r="G129" i="4"/>
  <c r="P125" i="4"/>
  <c r="O125" i="4"/>
  <c r="N125" i="4"/>
  <c r="M125" i="4"/>
  <c r="L125" i="4"/>
  <c r="K125" i="4"/>
  <c r="J125" i="4"/>
  <c r="I125" i="4"/>
  <c r="H125" i="4"/>
  <c r="G125" i="4"/>
  <c r="G158" i="4"/>
  <c r="H158" i="4"/>
  <c r="I158" i="4"/>
  <c r="J158" i="4"/>
  <c r="K158" i="4"/>
  <c r="L158" i="4"/>
  <c r="M158" i="4"/>
  <c r="N158" i="4"/>
  <c r="O158" i="4"/>
  <c r="P158" i="4"/>
  <c r="P124" i="4"/>
  <c r="O124" i="4"/>
  <c r="N124" i="4"/>
  <c r="M124" i="4"/>
  <c r="L124" i="4"/>
  <c r="K124" i="4"/>
  <c r="J124" i="4"/>
  <c r="I124" i="4"/>
  <c r="H124" i="4"/>
  <c r="G124" i="4"/>
  <c r="P100" i="4"/>
  <c r="O100" i="4"/>
  <c r="N100" i="4"/>
  <c r="M100" i="4"/>
  <c r="L100" i="4"/>
  <c r="K100" i="4"/>
  <c r="J100" i="4"/>
  <c r="I100" i="4"/>
  <c r="H100" i="4"/>
  <c r="G100" i="4"/>
  <c r="G99" i="4"/>
  <c r="P97" i="4"/>
  <c r="O97" i="4"/>
  <c r="N97" i="4"/>
  <c r="M97" i="4"/>
  <c r="L97" i="4"/>
  <c r="K97" i="4"/>
  <c r="J97" i="4"/>
  <c r="I97" i="4"/>
  <c r="H97" i="4"/>
  <c r="G97" i="4"/>
  <c r="P84" i="4"/>
  <c r="O84" i="4"/>
  <c r="N84" i="4"/>
  <c r="M84" i="4"/>
  <c r="L84" i="4"/>
  <c r="K84" i="4"/>
  <c r="J84" i="4"/>
  <c r="I84" i="4"/>
  <c r="H84" i="4"/>
  <c r="G84" i="4"/>
  <c r="P120" i="4"/>
  <c r="O120" i="4"/>
  <c r="N120" i="4"/>
  <c r="M120" i="4"/>
  <c r="L120" i="4"/>
  <c r="K120" i="4"/>
  <c r="J120" i="4"/>
  <c r="I120" i="4"/>
  <c r="H120" i="4"/>
  <c r="G120" i="4"/>
  <c r="P119" i="4"/>
  <c r="O119" i="4"/>
  <c r="N119" i="4"/>
  <c r="M119" i="4"/>
  <c r="L119" i="4"/>
  <c r="K119" i="4"/>
  <c r="J119" i="4"/>
  <c r="I119" i="4"/>
  <c r="H119" i="4"/>
  <c r="G119" i="4"/>
  <c r="P163" i="4"/>
  <c r="O163" i="4"/>
  <c r="N163" i="4"/>
  <c r="M163" i="4"/>
  <c r="L163" i="4"/>
  <c r="K163" i="4"/>
  <c r="J163" i="4"/>
  <c r="I163" i="4"/>
  <c r="H163" i="4"/>
  <c r="G163" i="4"/>
  <c r="P162" i="4"/>
  <c r="O162" i="4"/>
  <c r="N162" i="4"/>
  <c r="M162" i="4"/>
  <c r="L162" i="4"/>
  <c r="K162" i="4"/>
  <c r="J162" i="4"/>
  <c r="I162" i="4"/>
  <c r="H162" i="4"/>
  <c r="G162" i="4"/>
  <c r="P157" i="4"/>
  <c r="O157" i="4"/>
  <c r="N157" i="4"/>
  <c r="M157" i="4"/>
  <c r="L157" i="4"/>
  <c r="K157" i="4"/>
  <c r="J157" i="4"/>
  <c r="I157" i="4"/>
  <c r="H157" i="4"/>
  <c r="G157" i="4"/>
  <c r="P153" i="4"/>
  <c r="O153" i="4"/>
  <c r="N153" i="4"/>
  <c r="M153" i="4"/>
  <c r="L153" i="4"/>
  <c r="K153" i="4"/>
  <c r="J153" i="4"/>
  <c r="I153" i="4"/>
  <c r="H153" i="4"/>
  <c r="G153" i="4"/>
  <c r="P152" i="4"/>
  <c r="O152" i="4"/>
  <c r="N152" i="4"/>
  <c r="M152" i="4"/>
  <c r="L152" i="4"/>
  <c r="K152" i="4"/>
  <c r="J152" i="4"/>
  <c r="I152" i="4"/>
  <c r="H152" i="4"/>
  <c r="G152" i="4"/>
  <c r="P148" i="4"/>
  <c r="O148" i="4"/>
  <c r="N148" i="4"/>
  <c r="M148" i="4"/>
  <c r="L148" i="4"/>
  <c r="K148" i="4"/>
  <c r="J148" i="4"/>
  <c r="I148" i="4"/>
  <c r="H148" i="4"/>
  <c r="G148" i="4"/>
  <c r="P147" i="4"/>
  <c r="O147" i="4"/>
  <c r="N147" i="4"/>
  <c r="M147" i="4"/>
  <c r="L147" i="4"/>
  <c r="K147" i="4"/>
  <c r="J147" i="4"/>
  <c r="I147" i="4"/>
  <c r="H147" i="4"/>
  <c r="G147" i="4"/>
  <c r="P143" i="4"/>
  <c r="O143" i="4"/>
  <c r="N143" i="4"/>
  <c r="M143" i="4"/>
  <c r="L143" i="4"/>
  <c r="K143" i="4"/>
  <c r="J143" i="4"/>
  <c r="I143" i="4"/>
  <c r="H143" i="4"/>
  <c r="G143" i="4"/>
  <c r="P142" i="4"/>
  <c r="O142" i="4"/>
  <c r="N142" i="4"/>
  <c r="M142" i="4"/>
  <c r="L142" i="4"/>
  <c r="K142" i="4"/>
  <c r="J142" i="4"/>
  <c r="I142" i="4"/>
  <c r="H142" i="4"/>
  <c r="G142" i="4"/>
  <c r="P138" i="4"/>
  <c r="O138" i="4"/>
  <c r="N138" i="4"/>
  <c r="M138" i="4"/>
  <c r="L138" i="4"/>
  <c r="K138" i="4"/>
  <c r="J138" i="4"/>
  <c r="I138" i="4"/>
  <c r="H138" i="4"/>
  <c r="G138" i="4"/>
  <c r="P137" i="4"/>
  <c r="O137" i="4"/>
  <c r="N137" i="4"/>
  <c r="M137" i="4"/>
  <c r="L137" i="4"/>
  <c r="K137" i="4"/>
  <c r="J137" i="4"/>
  <c r="I137" i="4"/>
  <c r="H137" i="4"/>
  <c r="G137" i="4"/>
  <c r="P133" i="4"/>
  <c r="O133" i="4"/>
  <c r="N133" i="4"/>
  <c r="M133" i="4"/>
  <c r="L133" i="4"/>
  <c r="K133" i="4"/>
  <c r="J133" i="4"/>
  <c r="I133" i="4"/>
  <c r="H133" i="4"/>
  <c r="G133" i="4"/>
  <c r="P132" i="4"/>
  <c r="O132" i="4"/>
  <c r="N132" i="4"/>
  <c r="M132" i="4"/>
  <c r="L132" i="4"/>
  <c r="K132" i="4"/>
  <c r="J132" i="4"/>
  <c r="I132" i="4"/>
  <c r="H132" i="4"/>
  <c r="G132" i="4"/>
  <c r="P128" i="4"/>
  <c r="O128" i="4"/>
  <c r="N128" i="4"/>
  <c r="M128" i="4"/>
  <c r="L128" i="4"/>
  <c r="K128" i="4"/>
  <c r="J128" i="4"/>
  <c r="I128" i="4"/>
  <c r="H128" i="4"/>
  <c r="G128" i="4"/>
  <c r="P127" i="4"/>
  <c r="O127" i="4"/>
  <c r="N127" i="4"/>
  <c r="M127" i="4"/>
  <c r="L127" i="4"/>
  <c r="K127" i="4"/>
  <c r="J127" i="4"/>
  <c r="I127" i="4"/>
  <c r="H127" i="4"/>
  <c r="G127" i="4"/>
  <c r="P123" i="4"/>
  <c r="O123" i="4"/>
  <c r="N123" i="4"/>
  <c r="M123" i="4"/>
  <c r="L123" i="4"/>
  <c r="K123" i="4"/>
  <c r="J123" i="4"/>
  <c r="I123" i="4"/>
  <c r="H123" i="4"/>
  <c r="G123" i="4"/>
  <c r="P122" i="4"/>
  <c r="O122" i="4"/>
  <c r="N122" i="4"/>
  <c r="M122" i="4"/>
  <c r="L122" i="4"/>
  <c r="K122" i="4"/>
  <c r="J122" i="4"/>
  <c r="I122" i="4"/>
  <c r="H122" i="4"/>
  <c r="G122" i="4"/>
  <c r="P118" i="4"/>
  <c r="O118" i="4"/>
  <c r="N118" i="4"/>
  <c r="M118" i="4"/>
  <c r="L118" i="4"/>
  <c r="K118" i="4"/>
  <c r="J118" i="4"/>
  <c r="I118" i="4"/>
  <c r="H118" i="4"/>
  <c r="G118" i="4"/>
  <c r="P117" i="4"/>
  <c r="O117" i="4"/>
  <c r="N117" i="4"/>
  <c r="M117" i="4"/>
  <c r="L117" i="4"/>
  <c r="K117" i="4"/>
  <c r="J117" i="4"/>
  <c r="I117" i="4"/>
  <c r="G117" i="4"/>
  <c r="C111" i="4"/>
  <c r="C110" i="4"/>
  <c r="C109" i="4"/>
  <c r="C108" i="4"/>
  <c r="P72" i="4"/>
  <c r="O72" i="4"/>
  <c r="N72" i="4"/>
  <c r="M72" i="4"/>
  <c r="L72" i="4"/>
  <c r="K72" i="4"/>
  <c r="J72" i="4"/>
  <c r="I72" i="4"/>
  <c r="H72" i="4"/>
  <c r="G72" i="4"/>
  <c r="P57" i="4"/>
  <c r="P61" i="4" s="1"/>
  <c r="O57" i="4"/>
  <c r="N57" i="4"/>
  <c r="M57" i="4"/>
  <c r="L57" i="4"/>
  <c r="K57" i="4"/>
  <c r="J57" i="4"/>
  <c r="I57" i="4"/>
  <c r="H57" i="4"/>
  <c r="G57" i="4"/>
  <c r="P56" i="4"/>
  <c r="P60" i="4" s="1"/>
  <c r="O56" i="4"/>
  <c r="N56" i="4"/>
  <c r="M56" i="4"/>
  <c r="L56" i="4"/>
  <c r="K56" i="4"/>
  <c r="J56" i="4"/>
  <c r="I56" i="4"/>
  <c r="H56" i="4"/>
  <c r="G56" i="4"/>
  <c r="P55" i="4"/>
  <c r="P59" i="4" s="1"/>
  <c r="O55" i="4"/>
  <c r="N55" i="4"/>
  <c r="M55" i="4"/>
  <c r="L55" i="4"/>
  <c r="L58" i="4" s="1"/>
  <c r="K55" i="4"/>
  <c r="J55" i="4"/>
  <c r="I55" i="4"/>
  <c r="H55" i="4"/>
  <c r="G55" i="4"/>
  <c r="P20" i="4"/>
  <c r="O20" i="4"/>
  <c r="N20" i="4"/>
  <c r="M20" i="4"/>
  <c r="L20" i="4"/>
  <c r="K20" i="4"/>
  <c r="J20" i="4"/>
  <c r="I20" i="4"/>
  <c r="H20" i="4"/>
  <c r="G20" i="4"/>
  <c r="E20" i="4"/>
  <c r="P19" i="4"/>
  <c r="O19" i="4"/>
  <c r="N19" i="4"/>
  <c r="M19" i="4"/>
  <c r="L19" i="4"/>
  <c r="K19" i="4"/>
  <c r="J19" i="4"/>
  <c r="I19" i="4"/>
  <c r="H19" i="4"/>
  <c r="G19" i="4"/>
  <c r="E19" i="4"/>
  <c r="P18" i="4"/>
  <c r="O18" i="4"/>
  <c r="N18" i="4"/>
  <c r="M18" i="4"/>
  <c r="L18" i="4"/>
  <c r="K18" i="4"/>
  <c r="J18" i="4"/>
  <c r="I18" i="4"/>
  <c r="H18" i="4"/>
  <c r="E18" i="4"/>
  <c r="P17" i="4"/>
  <c r="P15" i="4" s="1"/>
  <c r="O17" i="4"/>
  <c r="N17" i="4"/>
  <c r="N79" i="4" s="1"/>
  <c r="N89" i="4" s="1"/>
  <c r="M17" i="4"/>
  <c r="M79" i="4" s="1"/>
  <c r="M89" i="4" s="1"/>
  <c r="L17" i="4"/>
  <c r="K17" i="4"/>
  <c r="J17" i="4"/>
  <c r="I17" i="4"/>
  <c r="H17" i="4"/>
  <c r="G17" i="4"/>
  <c r="E17" i="4"/>
  <c r="N15" i="4"/>
  <c r="E15" i="4"/>
  <c r="A142" i="3"/>
  <c r="D120" i="3"/>
  <c r="A118" i="3"/>
  <c r="D103" i="3"/>
  <c r="C66" i="3"/>
  <c r="C65" i="3"/>
  <c r="C64" i="3"/>
  <c r="C63" i="3"/>
  <c r="C62" i="3"/>
  <c r="C61" i="3"/>
  <c r="C60" i="3"/>
  <c r="C59" i="3"/>
  <c r="C58" i="3"/>
  <c r="C57" i="3"/>
  <c r="C54" i="3"/>
  <c r="C53" i="3"/>
  <c r="C52" i="3"/>
  <c r="C51" i="3"/>
  <c r="C50" i="3"/>
  <c r="C49" i="3"/>
  <c r="C48" i="3"/>
  <c r="C47" i="3"/>
  <c r="C46" i="3"/>
  <c r="C45" i="3"/>
  <c r="D40" i="3"/>
  <c r="D42" i="3" s="1"/>
  <c r="C34" i="3"/>
  <c r="C33" i="3"/>
  <c r="C32" i="3"/>
  <c r="C31" i="3"/>
  <c r="C30" i="3"/>
  <c r="C29" i="3"/>
  <c r="C28" i="3"/>
  <c r="C27" i="3"/>
  <c r="C26" i="3"/>
  <c r="C25" i="3"/>
  <c r="D21" i="3"/>
  <c r="G14" i="1"/>
  <c r="M87" i="4" l="1"/>
  <c r="N87" i="4"/>
  <c r="O113" i="4"/>
  <c r="M15" i="4"/>
  <c r="M59" i="4"/>
  <c r="J79" i="4"/>
  <c r="N60" i="4"/>
  <c r="M101" i="4"/>
  <c r="M102" i="4" s="1"/>
  <c r="K113" i="4"/>
  <c r="K15" i="4"/>
  <c r="O60" i="4"/>
  <c r="J60" i="4"/>
  <c r="K60" i="4"/>
  <c r="L79" i="4"/>
  <c r="L87" i="4" s="1"/>
  <c r="I15" i="4"/>
  <c r="G113" i="4"/>
  <c r="H61" i="4"/>
  <c r="I101" i="4"/>
  <c r="I102" i="4" s="1"/>
  <c r="H15" i="4"/>
  <c r="I113" i="4"/>
  <c r="N59" i="4"/>
  <c r="L60" i="4"/>
  <c r="J61" i="4"/>
  <c r="N101" i="4"/>
  <c r="N102" i="4" s="1"/>
  <c r="J113" i="4"/>
  <c r="G59" i="4"/>
  <c r="O59" i="4"/>
  <c r="M60" i="4"/>
  <c r="K61" i="4"/>
  <c r="K79" i="4"/>
  <c r="K87" i="4" s="1"/>
  <c r="G101" i="4"/>
  <c r="G102" i="4" s="1"/>
  <c r="G103" i="4" s="1"/>
  <c r="G95" i="4" s="1"/>
  <c r="O101" i="4"/>
  <c r="O102" i="4" s="1"/>
  <c r="H59" i="4"/>
  <c r="L61" i="4"/>
  <c r="H101" i="4"/>
  <c r="H102" i="4" s="1"/>
  <c r="P101" i="4"/>
  <c r="P102" i="4" s="1"/>
  <c r="I59" i="4"/>
  <c r="G60" i="4"/>
  <c r="M61" i="4"/>
  <c r="L15" i="4"/>
  <c r="J59" i="4"/>
  <c r="H60" i="4"/>
  <c r="N61" i="4"/>
  <c r="J101" i="4"/>
  <c r="J102" i="4" s="1"/>
  <c r="N113" i="4"/>
  <c r="K58" i="4"/>
  <c r="I60" i="4"/>
  <c r="G61" i="4"/>
  <c r="O61" i="4"/>
  <c r="G79" i="4"/>
  <c r="G87" i="4" s="1"/>
  <c r="O79" i="4"/>
  <c r="K101" i="4"/>
  <c r="K102" i="4" s="1"/>
  <c r="H79" i="4"/>
  <c r="P79" i="4"/>
  <c r="P87" i="4" s="1"/>
  <c r="L101" i="4"/>
  <c r="L102" i="4" s="1"/>
  <c r="G15" i="4"/>
  <c r="O15" i="4"/>
  <c r="I61" i="4"/>
  <c r="I79" i="4"/>
  <c r="M88" i="4"/>
  <c r="N88" i="4"/>
  <c r="P103" i="4"/>
  <c r="P95" i="4" s="1"/>
  <c r="M58" i="4"/>
  <c r="K59" i="4"/>
  <c r="J15" i="4"/>
  <c r="N58" i="4"/>
  <c r="L59" i="4"/>
  <c r="L113" i="4"/>
  <c r="G58" i="4"/>
  <c r="O58" i="4"/>
  <c r="M113" i="4"/>
  <c r="H58" i="4"/>
  <c r="P58" i="4"/>
  <c r="I58" i="4"/>
  <c r="J58" i="4"/>
  <c r="H113" i="4"/>
  <c r="P113" i="4"/>
  <c r="J88" i="4" l="1"/>
  <c r="J87" i="4"/>
  <c r="J86" i="4"/>
  <c r="I87" i="4"/>
  <c r="I86" i="4"/>
  <c r="H87" i="4"/>
  <c r="H86" i="4"/>
  <c r="O89" i="4"/>
  <c r="O87" i="4"/>
  <c r="J89" i="4"/>
  <c r="H103" i="4"/>
  <c r="H95" i="4" s="1"/>
  <c r="K89" i="4"/>
  <c r="L88" i="4"/>
  <c r="L90" i="4" s="1"/>
  <c r="L89" i="4"/>
  <c r="J103" i="4"/>
  <c r="J95" i="4" s="1"/>
  <c r="I88" i="4"/>
  <c r="G89" i="4"/>
  <c r="G86" i="4"/>
  <c r="G88" i="4"/>
  <c r="O88" i="4"/>
  <c r="K88" i="4"/>
  <c r="P88" i="4"/>
  <c r="P89" i="4"/>
  <c r="P90" i="4" s="1"/>
  <c r="O103" i="4"/>
  <c r="O95" i="4" s="1"/>
  <c r="H88" i="4"/>
  <c r="H89" i="4"/>
  <c r="L103" i="4"/>
  <c r="L95" i="4" s="1"/>
  <c r="K103" i="4"/>
  <c r="K95" i="4" s="1"/>
  <c r="I89" i="4"/>
  <c r="M90" i="4"/>
  <c r="N90" i="4"/>
  <c r="M103" i="4"/>
  <c r="M95" i="4" s="1"/>
  <c r="I103" i="4"/>
  <c r="I95" i="4" s="1"/>
  <c r="N103" i="4"/>
  <c r="N95" i="4" s="1"/>
  <c r="J90" i="4"/>
  <c r="O90" i="4" l="1"/>
  <c r="K90" i="4"/>
  <c r="I90" i="4"/>
  <c r="H90" i="4"/>
  <c r="G9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tc={2103203C-70BB-4426-921C-6F820D83CDCD}</author>
    <author>tc={F8666F97-AD88-47EB-8D58-48CB74BCC0F8}</author>
    <author>tc={5D81C73B-65F0-4482-9722-D72D25EF14BD}</author>
    <author>tc={BB0FF40A-F43B-4495-B57A-FCFB6A47041B}</author>
  </authors>
  <commentList>
    <comment ref="D99" authorId="0" shapeId="0" xr:uid="{2103203C-70BB-4426-921C-6F820D83CDCD}">
      <text>
        <t>[Threaded comment]
Your version of Excel allows you to read this threaded comment; however, any edits to it will get removed if the file is opened in a newer version of Excel. Learn more: https://go.microsoft.com/fwlink/?linkid=870924
Comment:
    Let op, hier krijgt men geen huurkorting voor. We starten op commerciële huur.</t>
      </text>
    </comment>
    <comment ref="D100" authorId="1" shapeId="0" xr:uid="{F8666F97-AD88-47EB-8D58-48CB74BCC0F8}">
      <text>
        <t>[Threaded comment]
Your version of Excel allows you to read this threaded comment; however, any edits to it will get removed if the file is opened in a newer version of Excel. Learn more: https://go.microsoft.com/fwlink/?linkid=870924
Comment:
    Zit er in ons model (nog) niet in. Je moet een hogere instap betalen en verwerft daarmee je woonrecht.</t>
      </text>
    </comment>
    <comment ref="D146" authorId="2" shapeId="0" xr:uid="{5D81C73B-65F0-4482-9722-D72D25EF14BD}">
      <text>
        <t>[Threaded comment]
Your version of Excel allows you to read this threaded comment; however, any edits to it will get removed if the file is opened in a newer version of Excel. Learn more: https://go.microsoft.com/fwlink/?linkid=870924
Comment:
    Wij spreken van 1,5%-2% van de CAPEX voor all-in onderhoud (incl vervangingen). Dit is wel als je het bij een privé partij weg zet. Binnen een coöperatie waar bewoners een deel opnemen zou dit lager kunnen.</t>
      </text>
    </comment>
    <comment ref="D147" authorId="3" shapeId="0" xr:uid="{BB0FF40A-F43B-4495-B57A-FCFB6A47041B}">
      <text>
        <t>[Threaded comment]
Your version of Excel allows you to read this threaded comment; however, any edits to it will get removed if the file is opened in a newer version of Excel. Learn more: https://go.microsoft.com/fwlink/?linkid=870924
Comment:
    Ik begrijp niet wat hier mee bedoeld wordt. Je kan sowieso niet 100% van alle onderhoud bij coöperanten zelf leggen. Zaken als technieken laat je door een professionele partij doen.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tc={2F032431-B2D8-4DE2-BEFE-13E5B9B1D6C7}</author>
  </authors>
  <commentList>
    <comment ref="C82" authorId="0" shapeId="0" xr:uid="{2F032431-B2D8-4DE2-BEFE-13E5B9B1D6C7}">
      <text>
        <t>[Threaded comment]
Your version of Excel allows you to read this threaded comment; however, any edits to it will get removed if the file is opened in a newer version of Excel. Learn more: https://go.microsoft.com/fwlink/?linkid=870924
Comment:
    Enkel nieuw1 en nieuw2 zijn nieuwbouw aan 21% overige zijn renovatie en 6%</t>
      </text>
    </comment>
  </commentList>
</comments>
</file>

<file path=xl/sharedStrings.xml><?xml version="1.0" encoding="utf-8"?>
<sst xmlns="http://schemas.openxmlformats.org/spreadsheetml/2006/main" count="686" uniqueCount="286">
  <si>
    <t>Financieel basismodel: Hybride Wonen</t>
  </si>
  <si>
    <t>Opmerkingen</t>
  </si>
  <si>
    <t xml:space="preserve">Dit bestand betreft enkel de input bladen die gebruikt worden om de berekeningen in het financieel basismodel uit te voeren. </t>
  </si>
  <si>
    <t>Stijlnaam</t>
  </si>
  <si>
    <t>Format</t>
  </si>
  <si>
    <t>Beschrijving</t>
  </si>
  <si>
    <t>Std_0</t>
  </si>
  <si>
    <t>Format gebruikt voor cijfers in berekeningen</t>
  </si>
  <si>
    <t>Std_1</t>
  </si>
  <si>
    <t>Std_2</t>
  </si>
  <si>
    <t>Std_%1</t>
  </si>
  <si>
    <t>Std_%2</t>
  </si>
  <si>
    <t>Std_%3</t>
  </si>
  <si>
    <t>STD_Date</t>
  </si>
  <si>
    <t>Input_0</t>
  </si>
  <si>
    <t>Format gebruikt voor hard-coded input informatie</t>
  </si>
  <si>
    <t>Input_1</t>
  </si>
  <si>
    <t>Input_2</t>
  </si>
  <si>
    <t>Input_%1</t>
  </si>
  <si>
    <t>Input_%2</t>
  </si>
  <si>
    <t>Input_%3</t>
  </si>
  <si>
    <t>Input_Date</t>
  </si>
  <si>
    <t>Input_sqm</t>
  </si>
  <si>
    <t>Input_€/sqm</t>
  </si>
  <si>
    <t>Input_€/maand</t>
  </si>
  <si>
    <t>Input_€</t>
  </si>
  <si>
    <t>Titel_1</t>
  </si>
  <si>
    <t>Titel 1</t>
  </si>
  <si>
    <t>Titel_2</t>
  </si>
  <si>
    <t>Titel 2</t>
  </si>
  <si>
    <t>Input: Algemeen</t>
  </si>
  <si>
    <t xml:space="preserve">Beschrijving </t>
  </si>
  <si>
    <t>Constant</t>
  </si>
  <si>
    <t>Unit</t>
  </si>
  <si>
    <t>Notities</t>
  </si>
  <si>
    <t>Bron</t>
  </si>
  <si>
    <t>1. Projectnaam informatie</t>
  </si>
  <si>
    <t>Project 1</t>
  </si>
  <si>
    <t>Herentals 1</t>
  </si>
  <si>
    <t>naam</t>
  </si>
  <si>
    <t>Naam van het project</t>
  </si>
  <si>
    <t>Project 2</t>
  </si>
  <si>
    <t>Herentals 2</t>
  </si>
  <si>
    <t>Project 3</t>
  </si>
  <si>
    <t>Herentals 3</t>
  </si>
  <si>
    <t>Project 4</t>
  </si>
  <si>
    <t>Herentals 4</t>
  </si>
  <si>
    <t>Project 5</t>
  </si>
  <si>
    <t>Herentals 5</t>
  </si>
  <si>
    <t>Project 6</t>
  </si>
  <si>
    <t>Project 7</t>
  </si>
  <si>
    <t>Project 8</t>
  </si>
  <si>
    <t>Project 9</t>
  </si>
  <si>
    <t>Project 10</t>
  </si>
  <si>
    <t>Aantal projecten</t>
  </si>
  <si>
    <t>2. Projectlocatie informatie</t>
  </si>
  <si>
    <t>Vlaanderen</t>
  </si>
  <si>
    <t>lijst</t>
  </si>
  <si>
    <t>Locatie van het project ter bepaling van de registratierechten die van toepassing zijn</t>
  </si>
  <si>
    <t>3. Timing en algemene informatie</t>
  </si>
  <si>
    <t>Timing</t>
  </si>
  <si>
    <t>Startdatum model</t>
  </si>
  <si>
    <t>datum</t>
  </si>
  <si>
    <t>Datum waarop het model start</t>
  </si>
  <si>
    <t>Laatste acquisitiedatum project</t>
  </si>
  <si>
    <t>Datum waarop het laatste project door de coöperatie wordt aangekocht</t>
  </si>
  <si>
    <t>Totale modelperiode</t>
  </si>
  <si>
    <t>jaar</t>
  </si>
  <si>
    <t>Looptijd van het model</t>
  </si>
  <si>
    <t>Einddatum model</t>
  </si>
  <si>
    <t>Datum waarop het model eindigt</t>
  </si>
  <si>
    <t>Acquisitiedatum</t>
  </si>
  <si>
    <t>Datum waarop het project door de coöperatie wordt aangekocht/het erfpachtcontract van start gaat en de coöperanten instappen</t>
  </si>
  <si>
    <t>Startdatum huur</t>
  </si>
  <si>
    <t>Datum waarop de verhuur van de units start</t>
  </si>
  <si>
    <t>Indexatie</t>
  </si>
  <si>
    <t>Indexatie - Huur</t>
  </si>
  <si>
    <t>%</t>
  </si>
  <si>
    <t xml:space="preserve">Jaarlijkse indexatieparameter huur </t>
  </si>
  <si>
    <t>Indexatie - Operationele kosten</t>
  </si>
  <si>
    <t>Jaarlijkse indexatieparameter operationele kosten</t>
  </si>
  <si>
    <t>Indexatie - CAPEX</t>
  </si>
  <si>
    <t>Jaarlijkse indexatieparameter CAPEX</t>
  </si>
  <si>
    <t>Indexatie - Erfpachtcanon</t>
  </si>
  <si>
    <t>Periodieke symbolische vergoeding</t>
  </si>
  <si>
    <t>Jaarlijkse indexatieparameter erfpachtcanon</t>
  </si>
  <si>
    <t>Periodieke redelijke vergoeding</t>
  </si>
  <si>
    <t>Indexatie - Marktwaarde grond</t>
  </si>
  <si>
    <t>Jaarlijkse indexatieparameter marktwaarde grond</t>
  </si>
  <si>
    <t>Indexatie - Marktwaarde gebouwen</t>
  </si>
  <si>
    <t>Jaarlijkse indexatieparameter marktwaarde gebouwen</t>
  </si>
  <si>
    <t>Tax</t>
  </si>
  <si>
    <t>Vennootschapsbelasting</t>
  </si>
  <si>
    <t>Registratierechten - Vlaanderen</t>
  </si>
  <si>
    <t>Registratierechten berekend op de netto acquisitieprijs</t>
  </si>
  <si>
    <t>Registratierechten - Brussel/Waals Gewest</t>
  </si>
  <si>
    <t xml:space="preserve">Registratierechten berekend op de netto acquisitieprijs </t>
  </si>
  <si>
    <t>Registratierechten - Erfpacht</t>
  </si>
  <si>
    <t>BTW acquisitie</t>
  </si>
  <si>
    <t>BTW berekend op de gebouwwaarde</t>
  </si>
  <si>
    <t>BTW CAPEX/OPEX</t>
  </si>
  <si>
    <t>BTW berekend op de CAPEX/OPEX bedragen</t>
  </si>
  <si>
    <t>Notariskosten</t>
  </si>
  <si>
    <t>Notariskosten berekend op de netto acquisitieprijs</t>
  </si>
  <si>
    <t>Makelaarskosten</t>
  </si>
  <si>
    <t>Makelaarskosten berekend op de netto acquisitieprijs</t>
  </si>
  <si>
    <t>Transactiekosten share deal</t>
  </si>
  <si>
    <t>Fiscale latentie share deal</t>
  </si>
  <si>
    <t>Berekend op het verschil in marktwaarde - boekwaarde van de asset die via share deal wordt verworven &amp; bij theoretische exit uit de coöperatie</t>
  </si>
  <si>
    <t>Afschrijving gebouwen</t>
  </si>
  <si>
    <t xml:space="preserve">Afschrijvingen </t>
  </si>
  <si>
    <t>Ja</t>
  </si>
  <si>
    <t>Switch om afschrijvingen aan/af te zetten</t>
  </si>
  <si>
    <t>Afschrijvingstermijn</t>
  </si>
  <si>
    <t>4. Financiering</t>
  </si>
  <si>
    <t>Coöperanten</t>
  </si>
  <si>
    <t>Coöperanten instapaandeel</t>
  </si>
  <si>
    <t>EUR</t>
  </si>
  <si>
    <t>Elke coöperant verwerft 1 instapaandeel bij toetreding tot de coöperatie</t>
  </si>
  <si>
    <t>Coöperanten initiële inbreng bij instap</t>
  </si>
  <si>
    <t>Coöperanten type 1 brengen x% van de acquisitiekost (excl. instapaandeel coöperanten) in bij instap</t>
  </si>
  <si>
    <t>Coöperanten kapitaalopbouw - Doel</t>
  </si>
  <si>
    <r>
      <t xml:space="preserve">Percentage van de </t>
    </r>
    <r>
      <rPr>
        <i/>
        <u/>
        <sz val="11"/>
        <color theme="1"/>
        <rFont val="Calibri"/>
        <family val="2"/>
        <scheme val="minor"/>
      </rPr>
      <t>totale</t>
    </r>
    <r>
      <rPr>
        <i/>
        <sz val="11"/>
        <color theme="1"/>
        <rFont val="Calibri"/>
        <family val="2"/>
        <scheme val="minor"/>
      </rPr>
      <t xml:space="preserve"> acquisitiekost dat door de coöperanten type 2 over de termijn x wordt opgebouwd</t>
    </r>
  </si>
  <si>
    <t>Coöperanten kapitaalopbouw - Termijn</t>
  </si>
  <si>
    <t>Termijn waarover de kapitaalsopbouw door de coöperanten type 2 wordt gerealiseerd</t>
  </si>
  <si>
    <t>Bankfinanciering</t>
  </si>
  <si>
    <t>LTV - Acquisitie</t>
  </si>
  <si>
    <t>LTV wordt berekend op het saldo van de (acquisitieprijs - instapaandelen)</t>
  </si>
  <si>
    <t>Type krediet</t>
  </si>
  <si>
    <t>Bullet krediet</t>
  </si>
  <si>
    <t>Termijn</t>
  </si>
  <si>
    <t>Interestvoet type</t>
  </si>
  <si>
    <t>Vast</t>
  </si>
  <si>
    <t>Interestvoet variabel:</t>
  </si>
  <si>
    <t>Termijn interestvoet 1</t>
  </si>
  <si>
    <t>Termijn waarbinnen interestvoet 1 wordt toegepast</t>
  </si>
  <si>
    <t>Termijn interestvoet 2</t>
  </si>
  <si>
    <t>Termijn waarbinnen interestvoet 2 wordt toegepast</t>
  </si>
  <si>
    <t>Termijn interestvoet 3</t>
  </si>
  <si>
    <t>Termijn waarbinnen interestvoet 3 wordt toegepast</t>
  </si>
  <si>
    <t>Interestvoet 1</t>
  </si>
  <si>
    <t>Interestvoet 2</t>
  </si>
  <si>
    <t>Interestvoet 3</t>
  </si>
  <si>
    <t>Variabele interest check</t>
  </si>
  <si>
    <t>Interestvoet vast</t>
  </si>
  <si>
    <t>EURIBOR</t>
  </si>
  <si>
    <t>12 months EURIBOR rate</t>
  </si>
  <si>
    <t>https://www.euribor-rates.eu/en/current-euribor-rates/4/euribor-rate-12-months/</t>
  </si>
  <si>
    <t>Bankmarge</t>
  </si>
  <si>
    <t>Minimale cash buffer</t>
  </si>
  <si>
    <t>Cash buffer - Coöperatie niveau/fonds niveau</t>
  </si>
  <si>
    <t>Minimale buffer aan cash die op het coöperatie/fondsniveau dient aangehouden te worden</t>
  </si>
  <si>
    <t>Cash buffer - SPV niveau</t>
  </si>
  <si>
    <t>Minimale buffer aan cash die in de SPVs dient aangehouden te worden</t>
  </si>
  <si>
    <t>Aandeelhouderslening SPV</t>
  </si>
  <si>
    <t>Aandeelhouderslening interestkost</t>
  </si>
  <si>
    <t>Intereskost die door de respectievelijke SPV wordt betaald aan het fonds</t>
  </si>
  <si>
    <t>Overheidssubsidie</t>
  </si>
  <si>
    <t>Aankoopsubsidie</t>
  </si>
  <si>
    <t>Overheidssubsidie berekend op de netto acquisitiewaarde</t>
  </si>
  <si>
    <t>5. Operationeel</t>
  </si>
  <si>
    <t>Huurinkomsten</t>
  </si>
  <si>
    <t>Leegstand</t>
  </si>
  <si>
    <t>Jaarlijks % berekend op de huurinkomsten</t>
  </si>
  <si>
    <t>Huurkorting</t>
  </si>
  <si>
    <r>
      <t xml:space="preserve">% berekend op de </t>
    </r>
    <r>
      <rPr>
        <i/>
        <u/>
        <sz val="11"/>
        <color theme="1"/>
        <rFont val="Calibri"/>
        <family val="2"/>
        <scheme val="minor"/>
      </rPr>
      <t>overtollige cash</t>
    </r>
    <r>
      <rPr>
        <i/>
        <sz val="11"/>
        <color theme="1"/>
        <rFont val="Calibri"/>
        <family val="2"/>
        <scheme val="minor"/>
      </rPr>
      <t xml:space="preserve"> die aan huurkorting wordt besteed</t>
    </r>
  </si>
  <si>
    <t>Allocatie coöperant type 1</t>
  </si>
  <si>
    <r>
      <t xml:space="preserve">% berekend op de </t>
    </r>
    <r>
      <rPr>
        <i/>
        <u/>
        <sz val="11"/>
        <color theme="1"/>
        <rFont val="Calibri"/>
        <family val="2"/>
        <scheme val="minor"/>
      </rPr>
      <t>totale huurkorting</t>
    </r>
    <r>
      <rPr>
        <i/>
        <sz val="11"/>
        <color theme="1"/>
        <rFont val="Calibri"/>
        <family val="2"/>
        <scheme val="minor"/>
      </rPr>
      <t xml:space="preserve"> die wordt toegekend</t>
    </r>
  </si>
  <si>
    <t>Allocatie coöperant type 2</t>
  </si>
  <si>
    <t>Allocatie coöperant type 3</t>
  </si>
  <si>
    <t>Huurkorting check</t>
  </si>
  <si>
    <t>Ter info de inputs in ons model (let op dit incl vervangingen):</t>
  </si>
  <si>
    <t>Vastgoedkosten</t>
  </si>
  <si>
    <t>Property &amp; facility management</t>
  </si>
  <si>
    <t>Onderhoudskosten - OPEX</t>
  </si>
  <si>
    <t>Onderhoudskosten - OPEX - Recuperatie coöperanten</t>
  </si>
  <si>
    <t>Totaal % OPEX dat gerecupereerd kan worden bij de coöperanten</t>
  </si>
  <si>
    <t>Onroerende voorheffing</t>
  </si>
  <si>
    <t>Verzekeringen</t>
  </si>
  <si>
    <t>Coöperatie management fees</t>
  </si>
  <si>
    <t>Jaarlijks % berekend op de AUM</t>
  </si>
  <si>
    <t>Coöperatie oprichtingskosten</t>
  </si>
  <si>
    <t>CAPEX</t>
  </si>
  <si>
    <t>CAPEX budget: 10j</t>
  </si>
  <si>
    <t>EUR/m²</t>
  </si>
  <si>
    <t>Berekend op de BVO per project</t>
  </si>
  <si>
    <t>CAPEX budget: 20j</t>
  </si>
  <si>
    <t>CAPEX budget: 30j</t>
  </si>
  <si>
    <t>CAPEX budget: 40j</t>
  </si>
  <si>
    <t>CAPEX budget: 50j</t>
  </si>
  <si>
    <t>CAPEX budget: 60j</t>
  </si>
  <si>
    <t>CAPEX budget: 70j</t>
  </si>
  <si>
    <t>CAPEX budget: 80j</t>
  </si>
  <si>
    <t>CAPEX budget: 90j</t>
  </si>
  <si>
    <t>CAPEX budget: 100j</t>
  </si>
  <si>
    <t>CAPEX periodiciteit</t>
  </si>
  <si>
    <t>tijd</t>
  </si>
  <si>
    <t>CAPEX wordt elke x jaar uitgevoerd</t>
  </si>
  <si>
    <t>Einde werkblad</t>
  </si>
  <si>
    <t>Input: Projecten</t>
  </si>
  <si>
    <t>B</t>
  </si>
  <si>
    <t>N</t>
  </si>
  <si>
    <t>P</t>
  </si>
  <si>
    <t>T+K</t>
  </si>
  <si>
    <t>nieuw1</t>
  </si>
  <si>
    <t>nieuw2</t>
  </si>
  <si>
    <t>1. Ontwikkelingsprogramma</t>
  </si>
  <si>
    <t>BVO</t>
  </si>
  <si>
    <t>Studio</t>
  </si>
  <si>
    <t xml:space="preserve">1 - slpk </t>
  </si>
  <si>
    <t xml:space="preserve">2 - slpk </t>
  </si>
  <si>
    <t xml:space="preserve">3 - slpk </t>
  </si>
  <si>
    <t>Totaal BVO</t>
  </si>
  <si>
    <t>m²</t>
  </si>
  <si>
    <t>Units</t>
  </si>
  <si>
    <t>aantal</t>
  </si>
  <si>
    <t>1 - slpk appartement</t>
  </si>
  <si>
    <t>2 - slpk appartement</t>
  </si>
  <si>
    <t>3 - slpk appartement</t>
  </si>
  <si>
    <t>2. Coöperantenpopulatie</t>
  </si>
  <si>
    <t>Coöperant 1</t>
  </si>
  <si>
    <t>Type</t>
  </si>
  <si>
    <t>Type 1</t>
  </si>
  <si>
    <t>3 - slpk</t>
  </si>
  <si>
    <t>1 - slpk</t>
  </si>
  <si>
    <t>2 - slpk</t>
  </si>
  <si>
    <t>Coöperant 2</t>
  </si>
  <si>
    <t>Coöperant 3</t>
  </si>
  <si>
    <t>Coöperant 4</t>
  </si>
  <si>
    <t>Coöperant 5</t>
  </si>
  <si>
    <t>Coöperant 6</t>
  </si>
  <si>
    <t>Coöperant 7</t>
  </si>
  <si>
    <t>Coöperant 8</t>
  </si>
  <si>
    <t>Coöperant 9</t>
  </si>
  <si>
    <t>Coöperant 10</t>
  </si>
  <si>
    <t>Aantal coöperanten type 1</t>
  </si>
  <si>
    <t>Coöperant die bij instap in de coöperatie, x% eigen inbreng doet.</t>
  </si>
  <si>
    <t>Aantal coöperanten type 2</t>
  </si>
  <si>
    <t>Coöperant die kapitaal opbouwt.</t>
  </si>
  <si>
    <t>Aantal coöperanten type 3</t>
  </si>
  <si>
    <t>Coöperant die zuiver huurt (naast instapaandeel).</t>
  </si>
  <si>
    <t>Totaal</t>
  </si>
  <si>
    <t>Type 2</t>
  </si>
  <si>
    <t>Type 3</t>
  </si>
  <si>
    <t>3. Acquisitie</t>
  </si>
  <si>
    <t>Netto acquisitieprijs per typologie</t>
  </si>
  <si>
    <t>Acquisitieprijs excl. registratierechten, notariskosten, transactiekosten</t>
  </si>
  <si>
    <t>Allocatie grond</t>
  </si>
  <si>
    <t>% grond in acquisitieprijs</t>
  </si>
  <si>
    <t>Allocatie gebouw</t>
  </si>
  <si>
    <t>% gebouw in acquisitieprijs</t>
  </si>
  <si>
    <t>Eigendomsstructuur</t>
  </si>
  <si>
    <t>Erfpacht</t>
  </si>
  <si>
    <t>Volle eigendom/Opstallen</t>
  </si>
  <si>
    <t>Acquisitiestructuur</t>
  </si>
  <si>
    <t>Asset deal of share deal</t>
  </si>
  <si>
    <t>Asset Deal</t>
  </si>
  <si>
    <t>Totale Netto Acquisitiewaarde</t>
  </si>
  <si>
    <t>Totale acquisitieprijs excl. registratierechten, notariskosten, transactiekosten</t>
  </si>
  <si>
    <t>Asset deal</t>
  </si>
  <si>
    <t>BTW-nieuw gebouw?</t>
  </si>
  <si>
    <t>NEEN</t>
  </si>
  <si>
    <t>JA</t>
  </si>
  <si>
    <t>Registratierechten %</t>
  </si>
  <si>
    <t>Registratierechten</t>
  </si>
  <si>
    <t>BTW</t>
  </si>
  <si>
    <t>Totale Bruto Acquisitiewaarde - Asset deal</t>
  </si>
  <si>
    <t>Erfpachttermijn</t>
  </si>
  <si>
    <t>Duurtijd van de erfpacht</t>
  </si>
  <si>
    <t xml:space="preserve">Erfpachtcanon </t>
  </si>
  <si>
    <r>
      <t xml:space="preserve">Periodieke symbolische vergoeding waarbij het kapitaal </t>
    </r>
    <r>
      <rPr>
        <i/>
        <u/>
        <sz val="11"/>
        <color theme="1"/>
        <rFont val="Calibri"/>
        <family val="2"/>
        <scheme val="minor"/>
      </rPr>
      <t>niet</t>
    </r>
    <r>
      <rPr>
        <i/>
        <sz val="11"/>
        <color theme="1"/>
        <rFont val="Calibri"/>
        <family val="2"/>
        <scheme val="minor"/>
      </rPr>
      <t xml:space="preserve"> wordt wedersamengesteld</t>
    </r>
  </si>
  <si>
    <t>Eenmalige symbolische vergoeding</t>
  </si>
  <si>
    <t xml:space="preserve">Eenmalige symbolische vergoeding </t>
  </si>
  <si>
    <t>Periodieke vergoeding waarbij het kapitaal wordt wedersamengesteld + een aanvaardbare marktconforme interest. Dit zal boekhoudkundig verwerkt worden als een onroerende leasing.</t>
  </si>
  <si>
    <t>Erfpachtwaarde</t>
  </si>
  <si>
    <t>Vergoeding</t>
  </si>
  <si>
    <t>4. Operationeel</t>
  </si>
  <si>
    <t>Huurniveau - Basis</t>
  </si>
  <si>
    <t>EUR/unit/maand</t>
  </si>
  <si>
    <t>Totaal huurniveau - Start</t>
  </si>
  <si>
    <t>Mapping per coöperant</t>
  </si>
  <si>
    <t>Netto acquisitiewaarde coöperant</t>
  </si>
  <si>
    <t>Initiële inbreng</t>
  </si>
  <si>
    <t>Kapitaalopbouw</t>
  </si>
  <si>
    <t>BTW - CAPEX/OPEX</t>
  </si>
  <si>
    <t>BTW tarief CAPEX/OPEX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</si>
</sst>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\-* #,##0_-;_-* &quot;-&quot;??_-;_-@_-"/>
    <numFmt numFmtId="165" formatCode="_-* #,##0.0_-;\-* #,##0.0_-;_-* &quot;-&quot;??_-;_-@_-"/>
    <numFmt numFmtId="166" formatCode="_-* #,##0.00_-;\-* #,##0.00_-;_-* &quot;-&quot;??_-;_-@_-"/>
    <numFmt numFmtId="167" formatCode="0.0%"/>
    <numFmt numFmtId="168" formatCode="0.000%"/>
    <numFmt numFmtId="169" formatCode="_ * #,##0_ &quot;m²&quot;\ ;_ * \-#,##0_ &quot;m²&quot;\ ;_ * &quot;-&quot;??_ ;_ @_ "/>
    <numFmt numFmtId="170" formatCode="_ * #,##0_ &quot;€/m²&quot;\ ;_ * \-#,##0_ &quot;€/m²&quot;\ ;_ * &quot;-&quot;??_ ;_ @_ "/>
    <numFmt numFmtId="171" formatCode="_ * #,##0_ &quot;€/maand&quot;\ ;_ * \-#,##0_ &quot;€/maand&quot;\ ;_ * &quot;-&quot;??_ ;_ @_ "/>
    <numFmt numFmtId="172" formatCode="_ * #,##0_ &quot;jaar&quot;\ ;_ * \-#,##0_ &quot;jaar&quot;\ ;_ * &quot;-&quot;??_ ;_ @_ "/>
    <numFmt numFmtId="173" formatCode="_ &quot;€&quot;\ * #,##0_ ;_ &quot;€&quot;\ * \-#,##0_ ;_ &quot;€&quot;\ * &quot;-&quot;??_ ;_ @_ "/>
    <numFmt numFmtId="174" formatCode="[Red]#,##0&quot; Err(s)&quot;;\]#,##0&quot; Err(s)&quot;;[Blue]&quot;OK&quot;"/>
    <numFmt numFmtId="175" formatCode="#,##0&quot; €/m²/jr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7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22" fontId="0" fillId="0" borderId="0" xfId="0" applyNumberForma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indent="1"/>
    </xf>
    <xf numFmtId="166" fontId="0" fillId="0" borderId="0" xfId="0" applyNumberFormat="1" applyAlignment="1">
      <alignment horizontal="right" indent="1"/>
    </xf>
    <xf numFmtId="167" fontId="0" fillId="0" borderId="0" xfId="2" applyNumberFormat="1" applyFont="1" applyAlignment="1">
      <alignment horizontal="right" indent="1"/>
    </xf>
    <xf numFmtId="10" fontId="0" fillId="0" borderId="0" xfId="2" applyNumberFormat="1" applyFont="1" applyAlignment="1">
      <alignment horizontal="right" indent="1"/>
    </xf>
    <xf numFmtId="168" fontId="0" fillId="0" borderId="0" xfId="2" applyNumberFormat="1" applyFont="1" applyAlignment="1">
      <alignment horizontal="right" indent="1"/>
    </xf>
    <xf numFmtId="14" fontId="0" fillId="0" borderId="0" xfId="0" applyNumberFormat="1"/>
    <xf numFmtId="164" fontId="5" fillId="3" borderId="2" xfId="1" applyNumberFormat="1" applyFont="1" applyFill="1" applyBorder="1" applyAlignment="1">
      <alignment horizontal="right" vertical="center"/>
    </xf>
    <xf numFmtId="165" fontId="5" fillId="3" borderId="2" xfId="1" applyNumberFormat="1" applyFont="1" applyFill="1" applyBorder="1" applyAlignment="1">
      <alignment horizontal="right" vertical="center"/>
    </xf>
    <xf numFmtId="166" fontId="5" fillId="3" borderId="2" xfId="1" applyNumberFormat="1" applyFont="1" applyFill="1" applyBorder="1" applyAlignment="1">
      <alignment horizontal="right" vertical="center"/>
    </xf>
    <xf numFmtId="167" fontId="5" fillId="3" borderId="2" xfId="2" applyNumberFormat="1" applyFont="1" applyFill="1" applyBorder="1" applyAlignment="1">
      <alignment horizontal="right" vertical="center"/>
    </xf>
    <xf numFmtId="10" fontId="5" fillId="3" borderId="2" xfId="2" applyNumberFormat="1" applyFont="1" applyFill="1" applyBorder="1" applyAlignment="1">
      <alignment horizontal="right" vertical="center"/>
    </xf>
    <xf numFmtId="168" fontId="5" fillId="3" borderId="2" xfId="2" applyNumberFormat="1" applyFont="1" applyFill="1" applyBorder="1" applyAlignment="1">
      <alignment horizontal="right" vertical="center"/>
    </xf>
    <xf numFmtId="14" fontId="5" fillId="3" borderId="2" xfId="2" applyNumberFormat="1" applyFont="1" applyFill="1" applyBorder="1" applyAlignment="1">
      <alignment horizontal="right" vertical="center"/>
    </xf>
    <xf numFmtId="169" fontId="5" fillId="3" borderId="2" xfId="0" applyNumberFormat="1" applyFont="1" applyFill="1" applyBorder="1" applyAlignment="1">
      <alignment horizontal="right" vertical="center"/>
    </xf>
    <xf numFmtId="170" fontId="5" fillId="3" borderId="2" xfId="0" applyNumberFormat="1" applyFont="1" applyFill="1" applyBorder="1" applyAlignment="1">
      <alignment horizontal="right" vertical="center"/>
    </xf>
    <xf numFmtId="171" fontId="5" fillId="3" borderId="2" xfId="0" applyNumberFormat="1" applyFont="1" applyFill="1" applyBorder="1" applyAlignment="1">
      <alignment horizontal="right" vertical="center"/>
    </xf>
    <xf numFmtId="44" fontId="5" fillId="3" borderId="2" xfId="1" applyNumberFormat="1" applyFont="1" applyFill="1" applyBorder="1" applyAlignment="1">
      <alignment horizontal="right" vertical="center"/>
    </xf>
    <xf numFmtId="0" fontId="6" fillId="0" borderId="0" xfId="0" applyFont="1"/>
    <xf numFmtId="0" fontId="0" fillId="4" borderId="0" xfId="0" applyFill="1"/>
    <xf numFmtId="0" fontId="7" fillId="4" borderId="0" xfId="0" applyFont="1" applyFill="1"/>
    <xf numFmtId="0" fontId="0" fillId="4" borderId="0" xfId="0" applyFill="1" applyAlignment="1">
      <alignment horizontal="left"/>
    </xf>
    <xf numFmtId="0" fontId="8" fillId="5" borderId="0" xfId="0" applyFont="1" applyFill="1"/>
    <xf numFmtId="0" fontId="9" fillId="5" borderId="0" xfId="0" applyFont="1" applyFill="1"/>
    <xf numFmtId="0" fontId="8" fillId="5" borderId="0" xfId="0" applyFont="1" applyFill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5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horizontal="left" indent="1"/>
    </xf>
    <xf numFmtId="0" fontId="5" fillId="3" borderId="2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11" fillId="0" borderId="0" xfId="0" applyFont="1"/>
    <xf numFmtId="0" fontId="12" fillId="0" borderId="0" xfId="0" applyFont="1"/>
    <xf numFmtId="14" fontId="5" fillId="0" borderId="2" xfId="2" applyNumberFormat="1" applyFont="1" applyFill="1" applyBorder="1" applyAlignment="1">
      <alignment horizontal="right" vertical="center"/>
    </xf>
    <xf numFmtId="0" fontId="0" fillId="0" borderId="0" xfId="0" quotePrefix="1"/>
    <xf numFmtId="0" fontId="13" fillId="0" borderId="0" xfId="0" applyFont="1" applyAlignment="1">
      <alignment horizontal="left" indent="2"/>
    </xf>
    <xf numFmtId="167" fontId="5" fillId="0" borderId="2" xfId="2" applyNumberFormat="1" applyFont="1" applyFill="1" applyBorder="1" applyAlignment="1">
      <alignment horizontal="right" vertical="center"/>
    </xf>
    <xf numFmtId="167" fontId="5" fillId="0" borderId="0" xfId="2" applyNumberFormat="1" applyFont="1" applyFill="1" applyBorder="1" applyAlignment="1">
      <alignment horizontal="right" vertical="center"/>
    </xf>
    <xf numFmtId="172" fontId="5" fillId="3" borderId="2" xfId="2" applyNumberFormat="1" applyFont="1" applyFill="1" applyBorder="1" applyAlignment="1">
      <alignment horizontal="right" vertical="center"/>
    </xf>
    <xf numFmtId="173" fontId="5" fillId="3" borderId="2" xfId="1" applyNumberFormat="1" applyFont="1" applyFill="1" applyBorder="1" applyAlignment="1">
      <alignment horizontal="right" vertical="center" indent="2"/>
    </xf>
    <xf numFmtId="173" fontId="5" fillId="0" borderId="0" xfId="1" applyNumberFormat="1" applyFont="1" applyFill="1" applyBorder="1" applyAlignment="1">
      <alignment horizontal="right" vertical="center" indent="2"/>
    </xf>
    <xf numFmtId="172" fontId="5" fillId="0" borderId="2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2"/>
    </xf>
    <xf numFmtId="0" fontId="15" fillId="0" borderId="0" xfId="2" applyNumberFormat="1" applyFont="1" applyFill="1" applyBorder="1" applyAlignment="1">
      <alignment horizontal="right" vertical="center"/>
    </xf>
    <xf numFmtId="174" fontId="16" fillId="0" borderId="0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10" fontId="5" fillId="0" borderId="2" xfId="2" applyNumberFormat="1" applyFont="1" applyFill="1" applyBorder="1" applyAlignment="1">
      <alignment horizontal="right" vertical="center"/>
    </xf>
    <xf numFmtId="0" fontId="10" fillId="0" borderId="0" xfId="4"/>
    <xf numFmtId="10" fontId="15" fillId="0" borderId="0" xfId="2" applyNumberFormat="1" applyFont="1" applyFill="1" applyBorder="1" applyAlignment="1">
      <alignment horizontal="right" vertical="center"/>
    </xf>
    <xf numFmtId="10" fontId="5" fillId="0" borderId="6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170" fontId="5" fillId="3" borderId="2" xfId="1" applyNumberFormat="1" applyFont="1" applyFill="1" applyBorder="1" applyAlignment="1">
      <alignment horizontal="right" vertical="center" indent="2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indent="1"/>
    </xf>
    <xf numFmtId="169" fontId="5" fillId="0" borderId="2" xfId="0" applyNumberFormat="1" applyFont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164" fontId="18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13" fillId="0" borderId="0" xfId="0" applyFont="1" applyAlignment="1">
      <alignment horizontal="left" indent="3"/>
    </xf>
    <xf numFmtId="164" fontId="19" fillId="0" borderId="0" xfId="0" applyNumberFormat="1" applyFont="1"/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10" fontId="5" fillId="0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3"/>
    </xf>
    <xf numFmtId="0" fontId="5" fillId="0" borderId="0" xfId="2" applyNumberFormat="1" applyFont="1" applyFill="1" applyBorder="1" applyAlignment="1">
      <alignment horizontal="right" vertical="center"/>
    </xf>
    <xf numFmtId="173" fontId="5" fillId="0" borderId="2" xfId="1" applyNumberFormat="1" applyFont="1" applyFill="1" applyBorder="1" applyAlignment="1">
      <alignment horizontal="right" vertical="center" indent="2"/>
    </xf>
    <xf numFmtId="0" fontId="20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172" fontId="5" fillId="3" borderId="2" xfId="1" applyNumberFormat="1" applyFont="1" applyFill="1" applyBorder="1" applyAlignment="1">
      <alignment horizontal="right" vertical="center"/>
    </xf>
    <xf numFmtId="173" fontId="5" fillId="0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indent="4"/>
    </xf>
    <xf numFmtId="0" fontId="13" fillId="0" borderId="0" xfId="0" applyFont="1"/>
    <xf numFmtId="0" fontId="21" fillId="0" borderId="0" xfId="0" applyFont="1" applyAlignment="1">
      <alignment horizontal="left" indent="5"/>
    </xf>
    <xf numFmtId="172" fontId="5" fillId="0" borderId="2" xfId="1" applyNumberFormat="1" applyFont="1" applyFill="1" applyBorder="1" applyAlignment="1">
      <alignment horizontal="right" vertical="center"/>
    </xf>
    <xf numFmtId="171" fontId="5" fillId="0" borderId="2" xfId="0" applyNumberFormat="1" applyFont="1" applyBorder="1" applyAlignment="1">
      <alignment horizontal="right" vertical="center"/>
    </xf>
    <xf numFmtId="44" fontId="0" fillId="0" borderId="0" xfId="0" applyNumberFormat="1"/>
    <xf numFmtId="10" fontId="24" fillId="3" borderId="2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vertical="center"/>
    </xf>
    <xf numFmtId="167" fontId="24" fillId="0" borderId="2" xfId="2" applyNumberFormat="1" applyFont="1" applyFill="1" applyBorder="1" applyAlignment="1">
      <alignment horizontal="right" vertical="center"/>
    </xf>
    <xf numFmtId="173" fontId="9" fillId="0" borderId="0" xfId="0" applyNumberFormat="1" applyFont="1" applyAlignment="1">
      <alignment vertical="center"/>
    </xf>
    <xf numFmtId="0" fontId="22" fillId="0" borderId="0" xfId="0" applyFont="1" applyAlignment="1">
      <alignment horizontal="left" indent="4"/>
    </xf>
    <xf numFmtId="173" fontId="24" fillId="0" borderId="2" xfId="1" applyNumberFormat="1" applyFont="1" applyFill="1" applyBorder="1" applyAlignment="1">
      <alignment horizontal="right" vertical="center" indent="2"/>
    </xf>
    <xf numFmtId="0" fontId="9" fillId="0" borderId="5" xfId="0" applyFont="1" applyBorder="1" applyAlignment="1">
      <alignment vertical="top"/>
    </xf>
    <xf numFmtId="0" fontId="22" fillId="0" borderId="0" xfId="0" applyFont="1"/>
    <xf numFmtId="175" fontId="25" fillId="0" borderId="0" xfId="0" applyNumberFormat="1" applyFont="1" applyAlignment="1">
      <alignment horizontal="right"/>
    </xf>
    <xf numFmtId="173" fontId="24" fillId="3" borderId="2" xfId="1" applyNumberFormat="1" applyFont="1" applyFill="1" applyBorder="1" applyAlignment="1">
      <alignment horizontal="right" vertical="center" indent="2"/>
    </xf>
  </cellXfs>
  <cellStyles count="5">
    <cellStyle name="Check Cell" xfId="3" builtinId="23"/>
    <cellStyle name="Comma" xfId="1" builtinId="3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371476</xdr:colOff>
      <xdr:row>2</xdr:row>
      <xdr:rowOff>47626</xdr:rowOff>
    </xdr:from>
    <xdr:to>
      <xdr:col>2</xdr:col>
      <xdr:colOff>371476</xdr:colOff>
      <xdr:row>7</xdr:row>
      <xdr:rowOff>93578</xdr:rowOff>
    </xdr:to>
    <xdr:pic>
      <xdr:nvPicPr>
        <xdr:cNvPr id="2" name="Picture 1" descr="Logo's | VLAIO">
          <a:extLst>
            <a:ext uri="{FF2B5EF4-FFF2-40B4-BE49-F238E27FC236}">
              <a16:creationId xmlns:a16="http://schemas.microsoft.com/office/drawing/2014/main" id="{9F0B1C3E-062A-4479-B8F4-40A9B410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428626"/>
          <a:ext cx="2562224" cy="998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76201</xdr:colOff>
      <xdr:row>0</xdr:row>
      <xdr:rowOff>177870</xdr:rowOff>
    </xdr:from>
    <xdr:to>
      <xdr:col>8</xdr:col>
      <xdr:colOff>76201</xdr:colOff>
      <xdr:row>8</xdr:row>
      <xdr:rowOff>171449</xdr:rowOff>
    </xdr:to>
    <xdr:pic>
      <xdr:nvPicPr>
        <xdr:cNvPr id="3" name="Picture 2" descr="Deloitte Logo - Faculteit Wetenschappen KU Leuven">
          <a:extLst>
            <a:ext uri="{FF2B5EF4-FFF2-40B4-BE49-F238E27FC236}">
              <a16:creationId xmlns:a16="http://schemas.microsoft.com/office/drawing/2014/main" id="{390271AC-B294-414B-AD80-59CA12D6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1" y="177870"/>
          <a:ext cx="3733800" cy="1517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6</xdr:col>
      <xdr:colOff>133349</xdr:colOff>
      <xdr:row>8</xdr:row>
      <xdr:rowOff>45952</xdr:rowOff>
    </xdr:to>
    <xdr:pic>
      <xdr:nvPicPr>
        <xdr:cNvPr id="6" name="Picture 5" descr="Logo's | VLAIO">
          <a:extLst>
            <a:ext uri="{FF2B5EF4-FFF2-40B4-BE49-F238E27FC236}">
              <a16:creationId xmlns:a16="http://schemas.microsoft.com/office/drawing/2014/main" id="{438AEB4B-233E-40D2-94C5-48F98F95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71500"/>
          <a:ext cx="2562224" cy="998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419100</xdr:colOff>
      <xdr:row>1</xdr:row>
      <xdr:rowOff>123825</xdr:rowOff>
    </xdr:from>
    <xdr:to>
      <xdr:col>14</xdr:col>
      <xdr:colOff>419100</xdr:colOff>
      <xdr:row>9</xdr:row>
      <xdr:rowOff>117404</xdr:rowOff>
    </xdr:to>
    <xdr:pic>
      <xdr:nvPicPr>
        <xdr:cNvPr id="7" name="Picture 6" descr="Deloitte Logo - Faculteit Wetenschappen KU Leuven">
          <a:extLst>
            <a:ext uri="{FF2B5EF4-FFF2-40B4-BE49-F238E27FC236}">
              <a16:creationId xmlns:a16="http://schemas.microsoft.com/office/drawing/2014/main" id="{16D86912-4609-471F-8D18-43EFAE76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14325"/>
          <a:ext cx="3657600" cy="1517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577850</xdr:colOff>
      <xdr:row>142</xdr:row>
      <xdr:rowOff>172564</xdr:rowOff>
    </xdr:from>
    <xdr:to>
      <xdr:col>5</xdr:col>
      <xdr:colOff>4149545</xdr:colOff>
      <xdr:row>149</xdr:row>
      <xdr:rowOff>158750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BF67E61-7594-A05A-D25A-E148226C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25490014"/>
          <a:ext cx="4213045" cy="1275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oepvanroey.sharepoint.com/sites/TeamSamenwerkingVRV-Triginta/Gedeelde%20documenten/General/Financieel%20model%20Hybride%20wonen/herwerking%20ifv%20hybride%20wonen%20project.xlsx" TargetMode="External"/><Relationship Id="rId1" Type="http://schemas.openxmlformats.org/officeDocument/2006/relationships/externalLinkPath" Target="/sites/TeamSamenwerkingVRV-Triginta/Gedeelde%20documenten/General/Financieel%20model%20Hybride%20wonen/herwerking%20ifv%20hybride%20wonen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fiche"/>
      <sheetName val="OUTPUTS&gt;&gt;"/>
      <sheetName val="IRR-analyse"/>
      <sheetName val="Sensitiviteiten"/>
      <sheetName val="INPUTS&gt;&gt;"/>
      <sheetName val="Parameters hybride"/>
      <sheetName val="HBA parking en kasteeltje"/>
      <sheetName val="HBA site VRV"/>
      <sheetName val="opp VRV"/>
      <sheetName val="FEASO_ONTWIKKELING"/>
      <sheetName val="CASHPLANNING ONTW"/>
      <sheetName val="Huurcontracten"/>
      <sheetName val="TBA"/>
      <sheetName val="Waardering"/>
      <sheetName val="Grafieken"/>
      <sheetName val="Huur vergelijking"/>
      <sheetName val="Financieringsmix"/>
      <sheetName val="Erfpacht voorstel"/>
      <sheetName val="OPRICHTING SPV &gt;&gt;"/>
      <sheetName val="Vennootschap"/>
      <sheetName val="Financ"/>
      <sheetName val="Balans"/>
      <sheetName val="Resultatenrekening"/>
      <sheetName val="Begro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1">
          <cell r="I71">
            <v>119.30795847750863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 Michiels" id="{E27302F9-6204-44E7-8956-54817B807EE5}" userId="S::jona.michiels@vanroey.pro::34d2c10b-17f0-46d0-b17e-a90cb555403a" providerId="AD"/>
</personList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9" dT="2024-06-13T09:29:58.89" personId="{E27302F9-6204-44E7-8956-54817B807EE5}" id="{2103203C-70BB-4426-921C-6F820D83CDCD}">
    <text>Let op, hier krijgt men geen huurkorting voor. We starten op commerciële huur.</text>
  </threadedComment>
  <threadedComment ref="D100" dT="2024-06-13T08:39:06.23" personId="{E27302F9-6204-44E7-8956-54817B807EE5}" id="{F8666F97-AD88-47EB-8D58-48CB74BCC0F8}">
    <text>Zit er in ons model (nog) niet in. Je moet een hogere instap betalen en verwerft daarmee je woonrecht.</text>
  </threadedComment>
  <threadedComment ref="D146" dT="2024-06-13T07:39:16.49" personId="{E27302F9-6204-44E7-8956-54817B807EE5}" id="{5D81C73B-65F0-4482-9722-D72D25EF14BD}">
    <text>Wij spreken van 1,5%-2% van de CAPEX voor all-in onderhoud (incl vervangingen). Dit is wel als je het bij een privé partij weg zet. Binnen een coöperatie waar bewoners een deel opnemen zou dit lager kunnen.</text>
  </threadedComment>
  <threadedComment ref="D147" dT="2024-06-13T07:40:25.55" personId="{E27302F9-6204-44E7-8956-54817B807EE5}" id="{BB0FF40A-F43B-4495-B57A-FCFB6A47041B}">
    <text>Ik begrijp niet wat hier mee bedoeld wordt. Je kan sowieso niet 100% van alle onderhoud bij coöperanten zelf leggen. Zaken als technieken laat je door een professionele partij doen.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2" dT="2024-06-13T08:46:55.03" personId="{E27302F9-6204-44E7-8956-54817B807EE5}" id="{2F032431-B2D8-4DE2-BEFE-13E5B9B1D6C7}">
    <text>Enkel nieuw1 en nieuw2 zijn nieuwbouw aan 21% overige zijn renovatie en 6%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ribor-rates.eu/en/current-euribor-rates/4/euribor-rate-12-months/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525D-8074-41F6-821D-45CA2830A9FC}">
  <sheetPr>
    <tabColor theme="1" tint="0.499984740745262"/>
  </sheetPr>
  <dimension ref="A11:Q45"/>
  <sheetViews>
    <sheetView showGridLines="0" topLeftCell="A31" workbookViewId="0">
      <selection activeCell="O16" sqref="O16"/>
    </sheetView>
  </sheetViews>
  <sheetFormatPr defaultColWidth="0" defaultRowHeight="14.4" x14ac:dyDescent="0.3"/>
  <cols>
    <col min="1" max="2" width="3.5546875" customWidth="1"/>
    <col min="3" max="5" width="9.109375" customWidth="1"/>
    <col min="6" max="6" width="18.109375" customWidth="1"/>
    <col min="7" max="7" width="15.88671875" bestFit="1" customWidth="1"/>
    <col min="8" max="17" width="9.109375" customWidth="1"/>
    <col min="18" max="16384" width="9.109375" hidden="1"/>
  </cols>
  <sheetData>
    <row r="11" spans="3:12" ht="23.4" x14ac:dyDescent="0.45">
      <c r="F11" s="1" t="s">
        <v>0</v>
      </c>
    </row>
    <row r="14" spans="3:12" x14ac:dyDescent="0.3">
      <c r="G14" s="2">
        <f ca="1">NOW()</f>
        <v>46009.633206365739</v>
      </c>
    </row>
    <row r="16" spans="3:12" x14ac:dyDescent="0.3">
      <c r="C16" s="3" t="s">
        <v>1</v>
      </c>
      <c r="L16" s="3"/>
    </row>
    <row r="18" spans="3:11" x14ac:dyDescent="0.3">
      <c r="C18" t="s">
        <v>2</v>
      </c>
    </row>
    <row r="22" spans="3:11" x14ac:dyDescent="0.3">
      <c r="C22" s="3"/>
    </row>
    <row r="25" spans="3:11" x14ac:dyDescent="0.3">
      <c r="C25" s="3" t="s">
        <v>3</v>
      </c>
      <c r="G25" s="3" t="s">
        <v>4</v>
      </c>
      <c r="K25" s="3" t="s">
        <v>5</v>
      </c>
    </row>
    <row r="26" spans="3:11" x14ac:dyDescent="0.3">
      <c r="C26" t="s">
        <v>6</v>
      </c>
      <c r="G26" s="4">
        <v>1</v>
      </c>
      <c r="K26" t="s">
        <v>7</v>
      </c>
    </row>
    <row r="27" spans="3:11" x14ac:dyDescent="0.3">
      <c r="C27" t="s">
        <v>8</v>
      </c>
      <c r="G27" s="5">
        <v>1</v>
      </c>
    </row>
    <row r="28" spans="3:11" x14ac:dyDescent="0.3">
      <c r="C28" t="s">
        <v>9</v>
      </c>
      <c r="G28" s="6">
        <v>1</v>
      </c>
    </row>
    <row r="29" spans="3:11" x14ac:dyDescent="0.3">
      <c r="C29" t="s">
        <v>10</v>
      </c>
      <c r="G29" s="7">
        <v>0.01</v>
      </c>
    </row>
    <row r="30" spans="3:11" x14ac:dyDescent="0.3">
      <c r="C30" t="s">
        <v>11</v>
      </c>
      <c r="G30" s="8">
        <v>0.01</v>
      </c>
    </row>
    <row r="31" spans="3:11" x14ac:dyDescent="0.3">
      <c r="C31" t="s">
        <v>12</v>
      </c>
      <c r="G31" s="9">
        <v>0.01</v>
      </c>
    </row>
    <row r="32" spans="3:11" x14ac:dyDescent="0.3">
      <c r="C32" t="s">
        <v>13</v>
      </c>
      <c r="G32" s="10">
        <v>45292</v>
      </c>
    </row>
    <row r="33" spans="3:11" x14ac:dyDescent="0.3">
      <c r="C33" t="s">
        <v>14</v>
      </c>
      <c r="G33" s="11">
        <v>1</v>
      </c>
      <c r="K33" t="s">
        <v>15</v>
      </c>
    </row>
    <row r="34" spans="3:11" x14ac:dyDescent="0.3">
      <c r="C34" t="s">
        <v>16</v>
      </c>
      <c r="G34" s="12">
        <v>1</v>
      </c>
    </row>
    <row r="35" spans="3:11" x14ac:dyDescent="0.3">
      <c r="C35" t="s">
        <v>17</v>
      </c>
      <c r="G35" s="13">
        <v>1</v>
      </c>
    </row>
    <row r="36" spans="3:11" x14ac:dyDescent="0.3">
      <c r="C36" t="s">
        <v>18</v>
      </c>
      <c r="G36" s="14">
        <v>0.01</v>
      </c>
    </row>
    <row r="37" spans="3:11" x14ac:dyDescent="0.3">
      <c r="C37" t="s">
        <v>19</v>
      </c>
      <c r="G37" s="15">
        <v>0.01</v>
      </c>
    </row>
    <row r="38" spans="3:11" x14ac:dyDescent="0.3">
      <c r="C38" t="s">
        <v>20</v>
      </c>
      <c r="G38" s="16">
        <v>0.01</v>
      </c>
    </row>
    <row r="39" spans="3:11" x14ac:dyDescent="0.3">
      <c r="C39" t="s">
        <v>21</v>
      </c>
      <c r="G39" s="17">
        <v>45292</v>
      </c>
    </row>
    <row r="40" spans="3:11" x14ac:dyDescent="0.3">
      <c r="C40" t="s">
        <v>22</v>
      </c>
      <c r="G40" s="18">
        <v>1</v>
      </c>
    </row>
    <row r="41" spans="3:11" x14ac:dyDescent="0.3">
      <c r="C41" t="s">
        <v>23</v>
      </c>
      <c r="G41" s="19">
        <v>1</v>
      </c>
    </row>
    <row r="42" spans="3:11" x14ac:dyDescent="0.3">
      <c r="C42" t="s">
        <v>24</v>
      </c>
      <c r="G42" s="20">
        <v>1</v>
      </c>
    </row>
    <row r="43" spans="3:11" x14ac:dyDescent="0.3">
      <c r="C43" t="s">
        <v>25</v>
      </c>
      <c r="G43" s="21">
        <v>1</v>
      </c>
    </row>
    <row r="44" spans="3:11" ht="18" x14ac:dyDescent="0.35">
      <c r="C44" t="s">
        <v>26</v>
      </c>
      <c r="G44" s="22" t="s">
        <v>27</v>
      </c>
    </row>
    <row r="45" spans="3:11" x14ac:dyDescent="0.3">
      <c r="C45" t="s">
        <v>28</v>
      </c>
      <c r="G45" s="3" t="s">
        <v>29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A4DD-0356-432E-9174-C69448CBB6B7}">
  <sheetPr>
    <tabColor rgb="FFFFFF99"/>
  </sheetPr>
  <dimension ref="A1"/>
  <sheetViews>
    <sheetView showGridLines="0" workbookViewId="0">
      <selection activeCell="E25" sqref="E25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F66D-BB85-4CD2-9230-E4891013283E}">
  <sheetPr>
    <tabColor rgb="FFFFFF99"/>
  </sheetPr>
  <dimension ref="A1:N172"/>
  <sheetViews>
    <sheetView showGridLines="0" topLeftCell="A96" workbookViewId="0">
      <selection activeCell="D99" sqref="D99"/>
    </sheetView>
  </sheetViews>
  <sheetFormatPr defaultColWidth="0" defaultRowHeight="14.4" zeroHeight="1" x14ac:dyDescent="0.3"/>
  <cols>
    <col min="1" max="2" width="3.5546875" customWidth="1"/>
    <col min="3" max="3" width="52" bestFit="1" customWidth="1"/>
    <col min="4" max="4" width="15" bestFit="1" customWidth="1"/>
    <col min="5" max="5" width="9.109375" customWidth="1"/>
    <col min="6" max="6" width="130" bestFit="1" customWidth="1"/>
    <col min="7" max="7" width="9.109375" customWidth="1"/>
    <col min="8" max="8" width="77.44140625" bestFit="1" customWidth="1"/>
    <col min="9" max="9" width="9.109375" customWidth="1"/>
    <col min="10" max="14" width="0" hidden="1" customWidth="1"/>
    <col min="15" max="16384" width="9.109375" hidden="1"/>
  </cols>
  <sheetData>
    <row r="1" spans="1:13" s="23" customFormat="1" ht="18" x14ac:dyDescent="0.35">
      <c r="B1" s="24" t="s">
        <v>0</v>
      </c>
      <c r="E1" s="25"/>
    </row>
    <row r="2" spans="1:13" s="26" customFormat="1" x14ac:dyDescent="0.3">
      <c r="B2" s="27" t="s">
        <v>30</v>
      </c>
      <c r="E2" s="28"/>
    </row>
    <row r="3" spans="1:13" s="26" customFormat="1" x14ac:dyDescent="0.3">
      <c r="B3" s="27"/>
      <c r="E3" s="28"/>
    </row>
    <row r="4" spans="1:13" s="26" customFormat="1" x14ac:dyDescent="0.3">
      <c r="E4" s="28"/>
    </row>
    <row r="5" spans="1:13" x14ac:dyDescent="0.3"/>
    <row r="6" spans="1:13" x14ac:dyDescent="0.3"/>
    <row r="7" spans="1:13" ht="15" thickBot="1" x14ac:dyDescent="0.35">
      <c r="A7" s="29"/>
      <c r="B7" s="29"/>
      <c r="C7" s="29" t="s">
        <v>31</v>
      </c>
      <c r="D7" s="29" t="s">
        <v>32</v>
      </c>
      <c r="E7" s="29" t="s">
        <v>33</v>
      </c>
      <c r="F7" s="29" t="s">
        <v>34</v>
      </c>
      <c r="G7" s="29"/>
      <c r="H7" s="29" t="s">
        <v>35</v>
      </c>
      <c r="I7" s="30"/>
      <c r="J7" s="30"/>
      <c r="K7" s="30"/>
      <c r="L7" s="30"/>
      <c r="M7" s="30"/>
    </row>
    <row r="8" spans="1:13" x14ac:dyDescent="0.3">
      <c r="C8" s="31"/>
      <c r="E8" s="32"/>
    </row>
    <row r="9" spans="1:13" ht="15" thickBot="1" x14ac:dyDescent="0.35">
      <c r="A9" s="33" t="s">
        <v>36</v>
      </c>
      <c r="B9" s="33"/>
      <c r="C9" s="33"/>
      <c r="D9" s="33"/>
      <c r="E9" s="34"/>
      <c r="F9" s="33"/>
      <c r="G9" s="33"/>
      <c r="H9" s="33"/>
    </row>
    <row r="10" spans="1:13" x14ac:dyDescent="0.3">
      <c r="E10" s="32"/>
    </row>
    <row r="11" spans="1:13" x14ac:dyDescent="0.3">
      <c r="C11" s="35" t="s">
        <v>37</v>
      </c>
      <c r="D11" s="36" t="s">
        <v>38</v>
      </c>
      <c r="E11" s="37" t="s">
        <v>39</v>
      </c>
      <c r="F11" s="39" t="s">
        <v>40</v>
      </c>
    </row>
    <row r="12" spans="1:13" x14ac:dyDescent="0.3">
      <c r="C12" s="35" t="s">
        <v>41</v>
      </c>
      <c r="D12" s="36" t="s">
        <v>42</v>
      </c>
      <c r="E12" s="37" t="s">
        <v>39</v>
      </c>
    </row>
    <row r="13" spans="1:13" x14ac:dyDescent="0.3">
      <c r="C13" s="35" t="s">
        <v>43</v>
      </c>
      <c r="D13" s="36" t="s">
        <v>44</v>
      </c>
      <c r="E13" s="37" t="s">
        <v>39</v>
      </c>
    </row>
    <row r="14" spans="1:13" x14ac:dyDescent="0.3">
      <c r="B14" s="3"/>
      <c r="C14" s="35" t="s">
        <v>45</v>
      </c>
      <c r="D14" s="36" t="s">
        <v>46</v>
      </c>
      <c r="E14" s="37" t="s">
        <v>39</v>
      </c>
    </row>
    <row r="15" spans="1:13" x14ac:dyDescent="0.3">
      <c r="C15" s="35" t="s">
        <v>47</v>
      </c>
      <c r="D15" s="36" t="s">
        <v>48</v>
      </c>
      <c r="E15" s="37" t="s">
        <v>39</v>
      </c>
    </row>
    <row r="16" spans="1:13" x14ac:dyDescent="0.3">
      <c r="C16" s="35" t="s">
        <v>49</v>
      </c>
      <c r="D16" s="36" t="s">
        <v>49</v>
      </c>
      <c r="E16" s="37" t="s">
        <v>39</v>
      </c>
    </row>
    <row r="17" spans="1:8" x14ac:dyDescent="0.3">
      <c r="C17" s="35" t="s">
        <v>50</v>
      </c>
      <c r="D17" s="36" t="s">
        <v>50</v>
      </c>
      <c r="E17" s="37" t="s">
        <v>39</v>
      </c>
    </row>
    <row r="18" spans="1:8" x14ac:dyDescent="0.3">
      <c r="C18" s="35" t="s">
        <v>51</v>
      </c>
      <c r="D18" s="36" t="s">
        <v>51</v>
      </c>
      <c r="E18" s="37" t="s">
        <v>39</v>
      </c>
    </row>
    <row r="19" spans="1:8" x14ac:dyDescent="0.3">
      <c r="C19" s="35" t="s">
        <v>52</v>
      </c>
      <c r="D19" s="36" t="s">
        <v>52</v>
      </c>
      <c r="E19" s="37" t="s">
        <v>39</v>
      </c>
    </row>
    <row r="20" spans="1:8" x14ac:dyDescent="0.3">
      <c r="C20" s="35" t="s">
        <v>53</v>
      </c>
      <c r="D20" s="36" t="s">
        <v>53</v>
      </c>
      <c r="E20" s="37" t="s">
        <v>39</v>
      </c>
    </row>
    <row r="21" spans="1:8" x14ac:dyDescent="0.3">
      <c r="C21" s="38" t="s">
        <v>54</v>
      </c>
      <c r="D21" s="3">
        <f>COUNTIF(D11:D20,"*")</f>
        <v>10</v>
      </c>
      <c r="E21" s="32"/>
    </row>
    <row r="22" spans="1:8" x14ac:dyDescent="0.3">
      <c r="C22" s="38"/>
      <c r="D22" s="3"/>
      <c r="E22" s="32"/>
    </row>
    <row r="23" spans="1:8" ht="15" thickBot="1" x14ac:dyDescent="0.35">
      <c r="A23" s="33" t="s">
        <v>55</v>
      </c>
      <c r="B23" s="33"/>
      <c r="C23" s="33"/>
      <c r="D23" s="33"/>
      <c r="E23" s="34"/>
      <c r="F23" s="33"/>
      <c r="G23" s="33"/>
      <c r="H23" s="33"/>
    </row>
    <row r="24" spans="1:8" x14ac:dyDescent="0.3">
      <c r="C24" s="38"/>
      <c r="D24" s="3"/>
      <c r="E24" s="32"/>
    </row>
    <row r="25" spans="1:8" x14ac:dyDescent="0.3">
      <c r="C25" s="35" t="str">
        <f>D11</f>
        <v>Herentals 1</v>
      </c>
      <c r="D25" s="36" t="s">
        <v>56</v>
      </c>
      <c r="E25" s="37" t="s">
        <v>57</v>
      </c>
      <c r="F25" s="39" t="s">
        <v>58</v>
      </c>
    </row>
    <row r="26" spans="1:8" x14ac:dyDescent="0.3">
      <c r="C26" s="35" t="str">
        <f t="shared" ref="C26:C34" si="0">D12</f>
        <v>Herentals 2</v>
      </c>
      <c r="D26" s="36" t="s">
        <v>56</v>
      </c>
      <c r="E26" s="37" t="s">
        <v>57</v>
      </c>
    </row>
    <row r="27" spans="1:8" x14ac:dyDescent="0.3">
      <c r="C27" s="35" t="str">
        <f t="shared" si="0"/>
        <v>Herentals 3</v>
      </c>
      <c r="D27" s="36" t="s">
        <v>56</v>
      </c>
      <c r="E27" s="37" t="s">
        <v>57</v>
      </c>
    </row>
    <row r="28" spans="1:8" x14ac:dyDescent="0.3">
      <c r="C28" s="35" t="str">
        <f t="shared" si="0"/>
        <v>Herentals 4</v>
      </c>
      <c r="D28" s="36" t="s">
        <v>56</v>
      </c>
      <c r="E28" s="37" t="s">
        <v>57</v>
      </c>
    </row>
    <row r="29" spans="1:8" x14ac:dyDescent="0.3">
      <c r="C29" s="35" t="str">
        <f t="shared" si="0"/>
        <v>Herentals 5</v>
      </c>
      <c r="D29" s="36" t="s">
        <v>56</v>
      </c>
      <c r="E29" s="37" t="s">
        <v>57</v>
      </c>
    </row>
    <row r="30" spans="1:8" x14ac:dyDescent="0.3">
      <c r="C30" s="35" t="str">
        <f t="shared" si="0"/>
        <v>Project 6</v>
      </c>
      <c r="D30" s="36"/>
      <c r="E30" s="37" t="s">
        <v>57</v>
      </c>
    </row>
    <row r="31" spans="1:8" x14ac:dyDescent="0.3">
      <c r="C31" s="35" t="str">
        <f t="shared" si="0"/>
        <v>Project 7</v>
      </c>
      <c r="D31" s="36"/>
      <c r="E31" s="37" t="s">
        <v>57</v>
      </c>
    </row>
    <row r="32" spans="1:8" x14ac:dyDescent="0.3">
      <c r="C32" s="35" t="str">
        <f t="shared" si="0"/>
        <v>Project 8</v>
      </c>
      <c r="D32" s="36"/>
      <c r="E32" s="37" t="s">
        <v>57</v>
      </c>
    </row>
    <row r="33" spans="1:8" x14ac:dyDescent="0.3">
      <c r="C33" s="35" t="str">
        <f t="shared" si="0"/>
        <v>Project 9</v>
      </c>
      <c r="D33" s="36"/>
      <c r="E33" s="37" t="s">
        <v>57</v>
      </c>
    </row>
    <row r="34" spans="1:8" x14ac:dyDescent="0.3">
      <c r="C34" s="35" t="str">
        <f t="shared" si="0"/>
        <v>Project 10</v>
      </c>
      <c r="D34" s="36"/>
      <c r="E34" s="37" t="s">
        <v>57</v>
      </c>
    </row>
    <row r="35" spans="1:8" x14ac:dyDescent="0.3">
      <c r="C35" s="35"/>
      <c r="E35" s="32"/>
    </row>
    <row r="36" spans="1:8" ht="15" thickBot="1" x14ac:dyDescent="0.35">
      <c r="A36" s="33" t="s">
        <v>59</v>
      </c>
      <c r="B36" s="33"/>
      <c r="C36" s="33"/>
      <c r="D36" s="33"/>
      <c r="E36" s="34"/>
      <c r="F36" s="33"/>
      <c r="G36" s="33"/>
      <c r="H36" s="33"/>
    </row>
    <row r="37" spans="1:8" x14ac:dyDescent="0.3">
      <c r="E37" s="32"/>
    </row>
    <row r="38" spans="1:8" x14ac:dyDescent="0.3">
      <c r="B38" s="40" t="s">
        <v>60</v>
      </c>
      <c r="E38" s="32"/>
    </row>
    <row r="39" spans="1:8" x14ac:dyDescent="0.3">
      <c r="C39" s="35" t="s">
        <v>61</v>
      </c>
      <c r="D39" s="17">
        <v>46388</v>
      </c>
      <c r="E39" s="37" t="s">
        <v>62</v>
      </c>
      <c r="F39" s="39" t="s">
        <v>63</v>
      </c>
    </row>
    <row r="40" spans="1:8" x14ac:dyDescent="0.3">
      <c r="C40" s="35" t="s">
        <v>64</v>
      </c>
      <c r="D40" s="41">
        <f>MAX(D45:D54)</f>
        <v>46388</v>
      </c>
      <c r="E40" s="37" t="s">
        <v>62</v>
      </c>
      <c r="F40" s="39" t="s">
        <v>65</v>
      </c>
    </row>
    <row r="41" spans="1:8" x14ac:dyDescent="0.3">
      <c r="C41" s="35" t="s">
        <v>66</v>
      </c>
      <c r="D41" s="11">
        <v>100</v>
      </c>
      <c r="E41" s="37" t="s">
        <v>67</v>
      </c>
      <c r="F41" s="39" t="s">
        <v>68</v>
      </c>
      <c r="H41" s="42"/>
    </row>
    <row r="42" spans="1:8" x14ac:dyDescent="0.3">
      <c r="C42" s="35" t="s">
        <v>69</v>
      </c>
      <c r="D42" s="41">
        <f>DATE(YEAR(D40)+D41,MONTH(D40),DAY(D40)-1)</f>
        <v>82911</v>
      </c>
      <c r="E42" s="37" t="s">
        <v>62</v>
      </c>
      <c r="F42" s="39" t="s">
        <v>70</v>
      </c>
    </row>
    <row r="43" spans="1:8" x14ac:dyDescent="0.3">
      <c r="E43" s="32"/>
    </row>
    <row r="44" spans="1:8" x14ac:dyDescent="0.3">
      <c r="B44" s="40" t="s">
        <v>71</v>
      </c>
      <c r="E44" s="32"/>
    </row>
    <row r="45" spans="1:8" x14ac:dyDescent="0.3">
      <c r="C45" s="35" t="str">
        <f>D11</f>
        <v>Herentals 1</v>
      </c>
      <c r="D45" s="17">
        <v>46388</v>
      </c>
      <c r="E45" s="37" t="s">
        <v>62</v>
      </c>
      <c r="F45" s="39" t="s">
        <v>72</v>
      </c>
    </row>
    <row r="46" spans="1:8" x14ac:dyDescent="0.3">
      <c r="C46" s="35" t="str">
        <f t="shared" ref="C46:C54" si="1">D12</f>
        <v>Herentals 2</v>
      </c>
      <c r="D46" s="17">
        <v>46388</v>
      </c>
      <c r="E46" s="37" t="s">
        <v>62</v>
      </c>
    </row>
    <row r="47" spans="1:8" x14ac:dyDescent="0.3">
      <c r="C47" s="35" t="str">
        <f t="shared" si="1"/>
        <v>Herentals 3</v>
      </c>
      <c r="D47" s="17">
        <v>46388</v>
      </c>
      <c r="E47" s="37" t="s">
        <v>62</v>
      </c>
    </row>
    <row r="48" spans="1:8" x14ac:dyDescent="0.3">
      <c r="C48" s="35" t="str">
        <f t="shared" si="1"/>
        <v>Herentals 4</v>
      </c>
      <c r="D48" s="17">
        <v>46388</v>
      </c>
      <c r="E48" s="37" t="s">
        <v>62</v>
      </c>
    </row>
    <row r="49" spans="2:6" x14ac:dyDescent="0.3">
      <c r="C49" s="35" t="str">
        <f t="shared" si="1"/>
        <v>Herentals 5</v>
      </c>
      <c r="D49" s="17">
        <v>46388</v>
      </c>
      <c r="E49" s="37" t="s">
        <v>62</v>
      </c>
    </row>
    <row r="50" spans="2:6" x14ac:dyDescent="0.3">
      <c r="C50" s="35" t="str">
        <f t="shared" si="1"/>
        <v>Project 6</v>
      </c>
      <c r="D50" s="17">
        <v>45658</v>
      </c>
      <c r="E50" s="37" t="s">
        <v>62</v>
      </c>
    </row>
    <row r="51" spans="2:6" x14ac:dyDescent="0.3">
      <c r="C51" s="35" t="str">
        <f t="shared" si="1"/>
        <v>Project 7</v>
      </c>
      <c r="D51" s="17">
        <v>45658</v>
      </c>
      <c r="E51" s="37" t="s">
        <v>62</v>
      </c>
    </row>
    <row r="52" spans="2:6" x14ac:dyDescent="0.3">
      <c r="C52" s="35" t="str">
        <f t="shared" si="1"/>
        <v>Project 8</v>
      </c>
      <c r="D52" s="17">
        <v>45658</v>
      </c>
      <c r="E52" s="37" t="s">
        <v>62</v>
      </c>
    </row>
    <row r="53" spans="2:6" x14ac:dyDescent="0.3">
      <c r="C53" s="35" t="str">
        <f t="shared" si="1"/>
        <v>Project 9</v>
      </c>
      <c r="D53" s="17">
        <v>45658</v>
      </c>
      <c r="E53" s="37" t="s">
        <v>62</v>
      </c>
    </row>
    <row r="54" spans="2:6" x14ac:dyDescent="0.3">
      <c r="C54" s="35" t="str">
        <f t="shared" si="1"/>
        <v>Project 10</v>
      </c>
      <c r="D54" s="17">
        <v>45658</v>
      </c>
      <c r="E54" s="37" t="s">
        <v>62</v>
      </c>
    </row>
    <row r="55" spans="2:6" x14ac:dyDescent="0.3">
      <c r="C55" s="38"/>
      <c r="E55" s="32"/>
    </row>
    <row r="56" spans="2:6" x14ac:dyDescent="0.3">
      <c r="B56" s="40" t="s">
        <v>73</v>
      </c>
      <c r="C56" s="38"/>
      <c r="E56" s="32"/>
    </row>
    <row r="57" spans="2:6" x14ac:dyDescent="0.3">
      <c r="C57" s="35" t="str">
        <f>D11</f>
        <v>Herentals 1</v>
      </c>
      <c r="D57" s="17">
        <v>46388</v>
      </c>
      <c r="E57" s="37" t="s">
        <v>62</v>
      </c>
      <c r="F57" s="39" t="s">
        <v>74</v>
      </c>
    </row>
    <row r="58" spans="2:6" x14ac:dyDescent="0.3">
      <c r="C58" s="35" t="str">
        <f t="shared" ref="C58:C66" si="2">D12</f>
        <v>Herentals 2</v>
      </c>
      <c r="D58" s="17">
        <v>46388</v>
      </c>
      <c r="E58" s="37" t="s">
        <v>62</v>
      </c>
    </row>
    <row r="59" spans="2:6" x14ac:dyDescent="0.3">
      <c r="C59" s="35" t="str">
        <f t="shared" si="2"/>
        <v>Herentals 3</v>
      </c>
      <c r="D59" s="17">
        <v>46388</v>
      </c>
      <c r="E59" s="37" t="s">
        <v>62</v>
      </c>
    </row>
    <row r="60" spans="2:6" x14ac:dyDescent="0.3">
      <c r="C60" s="35" t="str">
        <f t="shared" si="2"/>
        <v>Herentals 4</v>
      </c>
      <c r="D60" s="17">
        <v>46388</v>
      </c>
      <c r="E60" s="37" t="s">
        <v>62</v>
      </c>
    </row>
    <row r="61" spans="2:6" x14ac:dyDescent="0.3">
      <c r="C61" s="35" t="str">
        <f t="shared" si="2"/>
        <v>Herentals 5</v>
      </c>
      <c r="D61" s="17">
        <v>46388</v>
      </c>
      <c r="E61" s="37" t="s">
        <v>62</v>
      </c>
    </row>
    <row r="62" spans="2:6" x14ac:dyDescent="0.3">
      <c r="C62" s="35" t="str">
        <f t="shared" si="2"/>
        <v>Project 6</v>
      </c>
      <c r="D62" s="17">
        <v>45658</v>
      </c>
      <c r="E62" s="37" t="s">
        <v>62</v>
      </c>
    </row>
    <row r="63" spans="2:6" x14ac:dyDescent="0.3">
      <c r="C63" s="35" t="str">
        <f t="shared" si="2"/>
        <v>Project 7</v>
      </c>
      <c r="D63" s="17">
        <v>45658</v>
      </c>
      <c r="E63" s="37" t="s">
        <v>62</v>
      </c>
    </row>
    <row r="64" spans="2:6" x14ac:dyDescent="0.3">
      <c r="C64" s="35" t="str">
        <f t="shared" si="2"/>
        <v>Project 8</v>
      </c>
      <c r="D64" s="17">
        <v>45658</v>
      </c>
      <c r="E64" s="37" t="s">
        <v>62</v>
      </c>
    </row>
    <row r="65" spans="2:6" x14ac:dyDescent="0.3">
      <c r="C65" s="35" t="str">
        <f t="shared" si="2"/>
        <v>Project 9</v>
      </c>
      <c r="D65" s="17">
        <v>45658</v>
      </c>
      <c r="E65" s="37" t="s">
        <v>62</v>
      </c>
    </row>
    <row r="66" spans="2:6" x14ac:dyDescent="0.3">
      <c r="C66" s="35" t="str">
        <f t="shared" si="2"/>
        <v>Project 10</v>
      </c>
      <c r="D66" s="17">
        <v>45658</v>
      </c>
      <c r="E66" s="37" t="s">
        <v>62</v>
      </c>
    </row>
    <row r="67" spans="2:6" x14ac:dyDescent="0.3">
      <c r="C67" s="38"/>
      <c r="E67" s="32"/>
    </row>
    <row r="68" spans="2:6" x14ac:dyDescent="0.3">
      <c r="B68" s="40" t="s">
        <v>75</v>
      </c>
      <c r="C68" s="38"/>
      <c r="E68" s="32"/>
    </row>
    <row r="69" spans="2:6" x14ac:dyDescent="0.3">
      <c r="C69" s="35" t="s">
        <v>76</v>
      </c>
      <c r="D69" s="14">
        <v>0.01</v>
      </c>
      <c r="E69" s="37" t="s">
        <v>77</v>
      </c>
      <c r="F69" s="39" t="s">
        <v>78</v>
      </c>
    </row>
    <row r="70" spans="2:6" x14ac:dyDescent="0.3">
      <c r="C70" s="35" t="s">
        <v>79</v>
      </c>
      <c r="D70" s="14">
        <v>0.02</v>
      </c>
      <c r="E70" s="37" t="s">
        <v>77</v>
      </c>
      <c r="F70" s="39" t="s">
        <v>80</v>
      </c>
    </row>
    <row r="71" spans="2:6" x14ac:dyDescent="0.3">
      <c r="C71" s="35" t="s">
        <v>81</v>
      </c>
      <c r="D71" s="14">
        <v>0.02</v>
      </c>
      <c r="E71" s="37" t="s">
        <v>77</v>
      </c>
      <c r="F71" s="39" t="s">
        <v>82</v>
      </c>
    </row>
    <row r="72" spans="2:6" x14ac:dyDescent="0.3">
      <c r="C72" s="35" t="s">
        <v>83</v>
      </c>
      <c r="E72" s="32"/>
    </row>
    <row r="73" spans="2:6" x14ac:dyDescent="0.3">
      <c r="C73" s="43" t="s">
        <v>84</v>
      </c>
      <c r="D73" s="15">
        <v>2.5000000000000001E-3</v>
      </c>
      <c r="E73" s="37" t="s">
        <v>77</v>
      </c>
      <c r="F73" s="39" t="s">
        <v>85</v>
      </c>
    </row>
    <row r="74" spans="2:6" x14ac:dyDescent="0.3">
      <c r="C74" s="43" t="s">
        <v>86</v>
      </c>
      <c r="D74" s="14">
        <v>0.01</v>
      </c>
      <c r="E74" s="37" t="s">
        <v>77</v>
      </c>
      <c r="F74" s="39" t="s">
        <v>85</v>
      </c>
    </row>
    <row r="75" spans="2:6" x14ac:dyDescent="0.3">
      <c r="C75" s="35" t="s">
        <v>87</v>
      </c>
      <c r="D75" s="14">
        <v>0.01</v>
      </c>
      <c r="E75" s="37" t="s">
        <v>77</v>
      </c>
      <c r="F75" s="39" t="s">
        <v>88</v>
      </c>
    </row>
    <row r="76" spans="2:6" x14ac:dyDescent="0.3">
      <c r="C76" s="35" t="s">
        <v>89</v>
      </c>
      <c r="D76" s="14">
        <v>0.01</v>
      </c>
      <c r="E76" s="37"/>
      <c r="F76" s="39" t="s">
        <v>90</v>
      </c>
    </row>
    <row r="77" spans="2:6" x14ac:dyDescent="0.3">
      <c r="C77" s="35"/>
      <c r="E77" s="32"/>
    </row>
    <row r="78" spans="2:6" x14ac:dyDescent="0.3">
      <c r="B78" s="40" t="s">
        <v>91</v>
      </c>
      <c r="C78" s="35"/>
      <c r="E78" s="32"/>
    </row>
    <row r="79" spans="2:6" x14ac:dyDescent="0.3">
      <c r="C79" s="35" t="s">
        <v>92</v>
      </c>
      <c r="D79" s="44">
        <v>0.25</v>
      </c>
      <c r="E79" s="32" t="s">
        <v>77</v>
      </c>
    </row>
    <row r="80" spans="2:6" x14ac:dyDescent="0.3">
      <c r="C80" s="35"/>
      <c r="D80" s="45"/>
      <c r="E80" s="32"/>
    </row>
    <row r="81" spans="1:8" x14ac:dyDescent="0.3">
      <c r="C81" s="35" t="s">
        <v>93</v>
      </c>
      <c r="D81" s="44">
        <v>0.12</v>
      </c>
      <c r="E81" s="32" t="s">
        <v>77</v>
      </c>
      <c r="F81" s="39" t="s">
        <v>94</v>
      </c>
    </row>
    <row r="82" spans="1:8" x14ac:dyDescent="0.3">
      <c r="C82" s="35" t="s">
        <v>95</v>
      </c>
      <c r="D82" s="44">
        <v>0.125</v>
      </c>
      <c r="E82" s="32" t="s">
        <v>77</v>
      </c>
      <c r="F82" s="39" t="s">
        <v>96</v>
      </c>
    </row>
    <row r="83" spans="1:8" x14ac:dyDescent="0.3">
      <c r="C83" s="35" t="s">
        <v>97</v>
      </c>
      <c r="D83" s="44">
        <v>0.05</v>
      </c>
      <c r="E83" s="32" t="s">
        <v>77</v>
      </c>
      <c r="F83" s="39" t="s">
        <v>96</v>
      </c>
    </row>
    <row r="84" spans="1:8" x14ac:dyDescent="0.3">
      <c r="C84" s="35" t="s">
        <v>98</v>
      </c>
      <c r="D84" s="44">
        <v>0.21</v>
      </c>
      <c r="E84" s="32" t="s">
        <v>77</v>
      </c>
      <c r="F84" s="39" t="s">
        <v>99</v>
      </c>
    </row>
    <row r="85" spans="1:8" x14ac:dyDescent="0.3">
      <c r="C85" s="35" t="s">
        <v>100</v>
      </c>
      <c r="D85" s="44">
        <v>0.21</v>
      </c>
      <c r="E85" s="32" t="s">
        <v>77</v>
      </c>
      <c r="F85" s="39" t="s">
        <v>101</v>
      </c>
    </row>
    <row r="86" spans="1:8" x14ac:dyDescent="0.3">
      <c r="C86" s="35" t="s">
        <v>102</v>
      </c>
      <c r="D86" s="14">
        <v>0.01</v>
      </c>
      <c r="E86" s="32" t="s">
        <v>77</v>
      </c>
      <c r="F86" s="39" t="s">
        <v>103</v>
      </c>
    </row>
    <row r="87" spans="1:8" x14ac:dyDescent="0.3">
      <c r="C87" s="35" t="s">
        <v>104</v>
      </c>
      <c r="D87" s="14">
        <v>1.4999999999999999E-2</v>
      </c>
      <c r="E87" s="32" t="s">
        <v>77</v>
      </c>
      <c r="F87" s="39" t="s">
        <v>105</v>
      </c>
    </row>
    <row r="88" spans="1:8" x14ac:dyDescent="0.3">
      <c r="C88" s="35"/>
      <c r="D88" s="45"/>
      <c r="E88" s="32"/>
    </row>
    <row r="89" spans="1:8" hidden="1" x14ac:dyDescent="0.3">
      <c r="C89" s="35" t="s">
        <v>106</v>
      </c>
      <c r="D89" s="14">
        <v>2.5000000000000001E-2</v>
      </c>
      <c r="E89" s="37" t="s">
        <v>77</v>
      </c>
      <c r="F89" s="39"/>
    </row>
    <row r="90" spans="1:8" hidden="1" x14ac:dyDescent="0.3">
      <c r="C90" s="35" t="s">
        <v>107</v>
      </c>
      <c r="D90" s="14">
        <v>0.125</v>
      </c>
      <c r="E90" s="37" t="s">
        <v>77</v>
      </c>
      <c r="F90" s="39" t="s">
        <v>108</v>
      </c>
    </row>
    <row r="91" spans="1:8" x14ac:dyDescent="0.3">
      <c r="E91" s="32"/>
    </row>
    <row r="92" spans="1:8" x14ac:dyDescent="0.3">
      <c r="B92" s="40" t="s">
        <v>109</v>
      </c>
      <c r="E92" s="32"/>
    </row>
    <row r="93" spans="1:8" x14ac:dyDescent="0.3">
      <c r="B93" s="40"/>
      <c r="C93" t="s">
        <v>110</v>
      </c>
      <c r="D93" s="46" t="s">
        <v>111</v>
      </c>
      <c r="E93" s="37" t="s">
        <v>57</v>
      </c>
      <c r="F93" s="39" t="s">
        <v>112</v>
      </c>
    </row>
    <row r="94" spans="1:8" x14ac:dyDescent="0.3">
      <c r="C94" s="32" t="s">
        <v>113</v>
      </c>
      <c r="D94" s="46">
        <v>50</v>
      </c>
      <c r="E94" s="37" t="s">
        <v>67</v>
      </c>
    </row>
    <row r="95" spans="1:8" x14ac:dyDescent="0.3">
      <c r="E95" s="32"/>
    </row>
    <row r="96" spans="1:8" ht="15" thickBot="1" x14ac:dyDescent="0.35">
      <c r="A96" s="33" t="s">
        <v>114</v>
      </c>
      <c r="B96" s="33"/>
      <c r="C96" s="33"/>
      <c r="D96" s="33"/>
      <c r="E96" s="34"/>
      <c r="F96" s="33"/>
      <c r="G96" s="33"/>
      <c r="H96" s="33"/>
    </row>
    <row r="97" spans="2:6" x14ac:dyDescent="0.3">
      <c r="E97" s="32"/>
    </row>
    <row r="98" spans="2:6" x14ac:dyDescent="0.3">
      <c r="B98" s="40" t="s">
        <v>115</v>
      </c>
      <c r="E98" s="32"/>
    </row>
    <row r="99" spans="2:6" x14ac:dyDescent="0.3">
      <c r="C99" s="35" t="s">
        <v>116</v>
      </c>
      <c r="D99" s="97">
        <v>22500</v>
      </c>
      <c r="E99" s="37" t="s">
        <v>117</v>
      </c>
      <c r="F99" s="39" t="s">
        <v>118</v>
      </c>
    </row>
    <row r="100" spans="2:6" x14ac:dyDescent="0.3">
      <c r="C100" s="35" t="s">
        <v>119</v>
      </c>
      <c r="D100" s="90">
        <v>0</v>
      </c>
      <c r="E100" s="32" t="s">
        <v>77</v>
      </c>
      <c r="F100" s="39" t="s">
        <v>120</v>
      </c>
    </row>
    <row r="101" spans="2:6" x14ac:dyDescent="0.3">
      <c r="D101" s="48"/>
      <c r="E101" s="37"/>
      <c r="F101" s="39"/>
    </row>
    <row r="102" spans="2:6" x14ac:dyDescent="0.3">
      <c r="C102" s="35" t="s">
        <v>121</v>
      </c>
      <c r="D102" s="90">
        <v>0</v>
      </c>
      <c r="E102" s="32" t="s">
        <v>77</v>
      </c>
      <c r="F102" s="39" t="s">
        <v>122</v>
      </c>
    </row>
    <row r="103" spans="2:6" x14ac:dyDescent="0.3">
      <c r="C103" s="35" t="s">
        <v>123</v>
      </c>
      <c r="D103" s="49">
        <f>D108</f>
        <v>20</v>
      </c>
      <c r="E103" s="37" t="s">
        <v>67</v>
      </c>
      <c r="F103" s="39" t="s">
        <v>124</v>
      </c>
    </row>
    <row r="104" spans="2:6" x14ac:dyDescent="0.3">
      <c r="D104" s="48"/>
      <c r="E104" s="37"/>
      <c r="F104" s="39"/>
    </row>
    <row r="105" spans="2:6" x14ac:dyDescent="0.3">
      <c r="B105" s="40" t="s">
        <v>125</v>
      </c>
      <c r="D105" s="45"/>
      <c r="E105" s="32"/>
      <c r="F105" s="39"/>
    </row>
    <row r="106" spans="2:6" x14ac:dyDescent="0.3">
      <c r="C106" s="35" t="s">
        <v>126</v>
      </c>
      <c r="D106" s="44">
        <v>0.5</v>
      </c>
      <c r="E106" s="32" t="s">
        <v>77</v>
      </c>
      <c r="F106" s="39" t="s">
        <v>127</v>
      </c>
    </row>
    <row r="107" spans="2:6" x14ac:dyDescent="0.3">
      <c r="C107" s="50" t="s">
        <v>128</v>
      </c>
      <c r="D107" s="11" t="s">
        <v>129</v>
      </c>
      <c r="E107" s="37" t="s">
        <v>57</v>
      </c>
      <c r="F107" s="39"/>
    </row>
    <row r="108" spans="2:6" x14ac:dyDescent="0.3">
      <c r="C108" s="50" t="s">
        <v>130</v>
      </c>
      <c r="D108" s="46">
        <v>20</v>
      </c>
      <c r="E108" s="37" t="s">
        <v>67</v>
      </c>
      <c r="F108" s="39"/>
    </row>
    <row r="109" spans="2:6" x14ac:dyDescent="0.3">
      <c r="C109" s="50" t="s">
        <v>131</v>
      </c>
      <c r="D109" s="11" t="s">
        <v>132</v>
      </c>
      <c r="E109" s="37" t="s">
        <v>57</v>
      </c>
      <c r="F109" s="39"/>
    </row>
    <row r="110" spans="2:6" x14ac:dyDescent="0.3">
      <c r="C110" s="50"/>
      <c r="D110" s="32"/>
      <c r="E110" s="32"/>
      <c r="F110" s="39"/>
    </row>
    <row r="111" spans="2:6" x14ac:dyDescent="0.3">
      <c r="C111" s="35" t="s">
        <v>133</v>
      </c>
      <c r="D111" s="51"/>
      <c r="E111" s="32"/>
      <c r="F111" s="39"/>
    </row>
    <row r="112" spans="2:6" x14ac:dyDescent="0.3">
      <c r="C112" s="50" t="s">
        <v>134</v>
      </c>
      <c r="D112" s="46">
        <v>5</v>
      </c>
      <c r="E112" s="37" t="s">
        <v>67</v>
      </c>
      <c r="F112" s="39" t="s">
        <v>135</v>
      </c>
    </row>
    <row r="113" spans="1:8" x14ac:dyDescent="0.3">
      <c r="C113" s="50" t="s">
        <v>136</v>
      </c>
      <c r="D113" s="46">
        <v>5</v>
      </c>
      <c r="E113" s="37" t="s">
        <v>67</v>
      </c>
      <c r="F113" s="39" t="s">
        <v>137</v>
      </c>
    </row>
    <row r="114" spans="1:8" x14ac:dyDescent="0.3">
      <c r="C114" s="50" t="s">
        <v>138</v>
      </c>
      <c r="D114" s="46">
        <v>10</v>
      </c>
      <c r="E114" s="37" t="s">
        <v>67</v>
      </c>
      <c r="F114" s="39" t="s">
        <v>139</v>
      </c>
    </row>
    <row r="115" spans="1:8" x14ac:dyDescent="0.3">
      <c r="C115" s="50" t="s">
        <v>140</v>
      </c>
      <c r="D115" s="14">
        <v>0.01</v>
      </c>
      <c r="E115" s="32" t="s">
        <v>77</v>
      </c>
      <c r="F115" s="39"/>
    </row>
    <row r="116" spans="1:8" x14ac:dyDescent="0.3">
      <c r="C116" s="50" t="s">
        <v>141</v>
      </c>
      <c r="D116" s="14">
        <v>0.02</v>
      </c>
      <c r="E116" s="32" t="s">
        <v>77</v>
      </c>
      <c r="F116" s="39"/>
    </row>
    <row r="117" spans="1:8" x14ac:dyDescent="0.3">
      <c r="C117" s="50" t="s">
        <v>142</v>
      </c>
      <c r="D117" s="14">
        <v>0.03</v>
      </c>
      <c r="E117" s="32" t="s">
        <v>77</v>
      </c>
      <c r="F117" s="39"/>
    </row>
    <row r="118" spans="1:8" x14ac:dyDescent="0.3">
      <c r="A118" s="52">
        <f>IF(D108=SUM(D112:D114),0,1)</f>
        <v>0</v>
      </c>
      <c r="C118" s="53" t="s">
        <v>143</v>
      </c>
      <c r="D118" s="54"/>
      <c r="E118" s="32"/>
      <c r="F118" s="39"/>
    </row>
    <row r="119" spans="1:8" x14ac:dyDescent="0.3">
      <c r="C119" s="54"/>
      <c r="D119" s="54"/>
      <c r="E119" s="32"/>
      <c r="F119" s="39"/>
    </row>
    <row r="120" spans="1:8" x14ac:dyDescent="0.3">
      <c r="C120" s="35" t="s">
        <v>144</v>
      </c>
      <c r="D120" s="55">
        <f>D121+D122</f>
        <v>5.3999999999999999E-2</v>
      </c>
      <c r="E120" s="32" t="s">
        <v>77</v>
      </c>
      <c r="F120" s="39"/>
    </row>
    <row r="121" spans="1:8" x14ac:dyDescent="0.3">
      <c r="C121" s="50" t="s">
        <v>145</v>
      </c>
      <c r="D121" s="15">
        <v>3.9E-2</v>
      </c>
      <c r="E121" s="32" t="s">
        <v>77</v>
      </c>
      <c r="F121" s="39" t="s">
        <v>146</v>
      </c>
      <c r="H121" s="56" t="s">
        <v>147</v>
      </c>
    </row>
    <row r="122" spans="1:8" x14ac:dyDescent="0.3">
      <c r="C122" s="50" t="s">
        <v>148</v>
      </c>
      <c r="D122" s="55">
        <v>1.4999999999999999E-2</v>
      </c>
      <c r="E122" s="32" t="s">
        <v>77</v>
      </c>
    </row>
    <row r="123" spans="1:8" x14ac:dyDescent="0.3">
      <c r="C123" s="50"/>
      <c r="E123" s="32"/>
    </row>
    <row r="124" spans="1:8" x14ac:dyDescent="0.3">
      <c r="B124" s="40" t="s">
        <v>149</v>
      </c>
      <c r="C124" s="50"/>
      <c r="E124" s="32"/>
    </row>
    <row r="125" spans="1:8" x14ac:dyDescent="0.3">
      <c r="C125" s="35" t="s">
        <v>150</v>
      </c>
      <c r="D125" s="47">
        <v>250000</v>
      </c>
      <c r="E125" s="37" t="s">
        <v>117</v>
      </c>
      <c r="F125" s="39" t="s">
        <v>151</v>
      </c>
    </row>
    <row r="126" spans="1:8" hidden="1" x14ac:dyDescent="0.3">
      <c r="C126" s="35" t="s">
        <v>152</v>
      </c>
      <c r="D126" s="47">
        <v>50000</v>
      </c>
      <c r="E126" s="37" t="s">
        <v>117</v>
      </c>
      <c r="F126" s="39" t="s">
        <v>153</v>
      </c>
    </row>
    <row r="127" spans="1:8" x14ac:dyDescent="0.3">
      <c r="C127" s="35"/>
      <c r="E127" s="37"/>
      <c r="F127" s="39"/>
    </row>
    <row r="128" spans="1:8" hidden="1" x14ac:dyDescent="0.3">
      <c r="B128" s="40" t="s">
        <v>154</v>
      </c>
      <c r="C128" s="35"/>
      <c r="E128" s="32"/>
      <c r="F128" s="39"/>
    </row>
    <row r="129" spans="1:8" hidden="1" x14ac:dyDescent="0.3">
      <c r="B129" s="40"/>
      <c r="C129" s="35" t="s">
        <v>155</v>
      </c>
      <c r="D129" s="15">
        <v>0.01</v>
      </c>
      <c r="E129" s="32" t="s">
        <v>77</v>
      </c>
      <c r="F129" s="39" t="s">
        <v>156</v>
      </c>
    </row>
    <row r="130" spans="1:8" x14ac:dyDescent="0.3">
      <c r="C130" s="50"/>
      <c r="E130" s="32"/>
    </row>
    <row r="131" spans="1:8" x14ac:dyDescent="0.3">
      <c r="B131" s="40" t="s">
        <v>157</v>
      </c>
      <c r="C131" s="50"/>
      <c r="E131" s="32"/>
    </row>
    <row r="132" spans="1:8" x14ac:dyDescent="0.3">
      <c r="B132" s="40"/>
      <c r="C132" s="50" t="s">
        <v>158</v>
      </c>
      <c r="D132" s="15">
        <v>0</v>
      </c>
      <c r="E132" s="32" t="s">
        <v>77</v>
      </c>
      <c r="F132" s="39" t="s">
        <v>159</v>
      </c>
    </row>
    <row r="133" spans="1:8" x14ac:dyDescent="0.3">
      <c r="C133" s="50"/>
      <c r="E133" s="32"/>
    </row>
    <row r="134" spans="1:8" ht="15" thickBot="1" x14ac:dyDescent="0.35">
      <c r="A134" s="33" t="s">
        <v>160</v>
      </c>
      <c r="B134" s="33"/>
      <c r="C134" s="33"/>
      <c r="D134" s="33"/>
      <c r="E134" s="34"/>
      <c r="F134" s="33"/>
      <c r="G134" s="33"/>
      <c r="H134" s="33"/>
    </row>
    <row r="135" spans="1:8" x14ac:dyDescent="0.3">
      <c r="E135" s="32"/>
    </row>
    <row r="136" spans="1:8" x14ac:dyDescent="0.3">
      <c r="B136" s="40" t="s">
        <v>161</v>
      </c>
      <c r="E136" s="32"/>
    </row>
    <row r="137" spans="1:8" x14ac:dyDescent="0.3">
      <c r="C137" s="35" t="s">
        <v>162</v>
      </c>
      <c r="D137" s="15">
        <v>5.0000000000000001E-3</v>
      </c>
      <c r="E137" s="32" t="s">
        <v>77</v>
      </c>
      <c r="F137" s="39" t="s">
        <v>163</v>
      </c>
    </row>
    <row r="138" spans="1:8" x14ac:dyDescent="0.3">
      <c r="C138" s="35" t="s">
        <v>164</v>
      </c>
      <c r="D138" s="14">
        <v>0.2</v>
      </c>
      <c r="E138" s="32" t="s">
        <v>77</v>
      </c>
      <c r="F138" s="39" t="s">
        <v>165</v>
      </c>
    </row>
    <row r="139" spans="1:8" x14ac:dyDescent="0.3">
      <c r="C139" s="50" t="s">
        <v>166</v>
      </c>
      <c r="D139" s="14">
        <v>1</v>
      </c>
      <c r="E139" s="32" t="s">
        <v>77</v>
      </c>
      <c r="F139" s="39" t="s">
        <v>167</v>
      </c>
    </row>
    <row r="140" spans="1:8" x14ac:dyDescent="0.3">
      <c r="C140" s="50" t="s">
        <v>168</v>
      </c>
      <c r="D140" s="14">
        <v>0</v>
      </c>
      <c r="E140" s="32" t="s">
        <v>77</v>
      </c>
      <c r="F140" s="39" t="s">
        <v>167</v>
      </c>
    </row>
    <row r="141" spans="1:8" x14ac:dyDescent="0.3">
      <c r="C141" s="50" t="s">
        <v>169</v>
      </c>
      <c r="D141" s="14">
        <v>0</v>
      </c>
      <c r="E141" s="32" t="s">
        <v>77</v>
      </c>
      <c r="F141" s="39" t="s">
        <v>167</v>
      </c>
    </row>
    <row r="142" spans="1:8" x14ac:dyDescent="0.3">
      <c r="A142" s="52">
        <f>IF((D139+D140+D141)&lt;&gt;100%,1,0)</f>
        <v>0</v>
      </c>
      <c r="C142" s="53" t="s">
        <v>170</v>
      </c>
      <c r="D142" s="57"/>
      <c r="E142" s="32"/>
      <c r="F142" s="39"/>
    </row>
    <row r="143" spans="1:8" x14ac:dyDescent="0.3">
      <c r="C143" s="53"/>
      <c r="D143" s="57"/>
      <c r="E143" s="32"/>
      <c r="F143" s="95" t="s">
        <v>171</v>
      </c>
    </row>
    <row r="144" spans="1:8" x14ac:dyDescent="0.3">
      <c r="B144" s="40" t="s">
        <v>172</v>
      </c>
      <c r="C144" s="35"/>
      <c r="E144" s="32"/>
    </row>
    <row r="145" spans="2:6" x14ac:dyDescent="0.3">
      <c r="C145" s="35" t="s">
        <v>173</v>
      </c>
      <c r="D145" s="15">
        <v>0.06</v>
      </c>
      <c r="E145" s="32" t="s">
        <v>77</v>
      </c>
      <c r="F145" s="39" t="s">
        <v>163</v>
      </c>
    </row>
    <row r="146" spans="2:6" x14ac:dyDescent="0.3">
      <c r="C146" s="35" t="s">
        <v>174</v>
      </c>
      <c r="D146" s="88">
        <v>0.02</v>
      </c>
      <c r="E146" s="32" t="s">
        <v>77</v>
      </c>
      <c r="F146" s="39" t="s">
        <v>163</v>
      </c>
    </row>
    <row r="147" spans="2:6" x14ac:dyDescent="0.3">
      <c r="C147" s="43" t="s">
        <v>175</v>
      </c>
      <c r="D147" s="14">
        <v>1</v>
      </c>
      <c r="E147" s="32" t="s">
        <v>77</v>
      </c>
      <c r="F147" s="39" t="s">
        <v>176</v>
      </c>
    </row>
    <row r="148" spans="2:6" x14ac:dyDescent="0.3">
      <c r="C148" s="35" t="s">
        <v>177</v>
      </c>
      <c r="D148" s="15">
        <v>0.08</v>
      </c>
      <c r="E148" s="32" t="s">
        <v>77</v>
      </c>
      <c r="F148" s="39" t="s">
        <v>163</v>
      </c>
    </row>
    <row r="149" spans="2:6" x14ac:dyDescent="0.3">
      <c r="C149" s="35" t="s">
        <v>178</v>
      </c>
      <c r="D149" s="15">
        <v>1.4999999999999999E-2</v>
      </c>
      <c r="E149" s="32" t="s">
        <v>77</v>
      </c>
      <c r="F149" s="39" t="s">
        <v>163</v>
      </c>
    </row>
    <row r="150" spans="2:6" x14ac:dyDescent="0.3">
      <c r="C150" s="35"/>
      <c r="D150" s="58"/>
      <c r="E150" s="32"/>
    </row>
    <row r="151" spans="2:6" x14ac:dyDescent="0.3">
      <c r="C151" s="35" t="s">
        <v>179</v>
      </c>
      <c r="D151" s="14"/>
      <c r="E151" s="32" t="s">
        <v>77</v>
      </c>
      <c r="F151" s="39" t="s">
        <v>180</v>
      </c>
    </row>
    <row r="152" spans="2:6" x14ac:dyDescent="0.3">
      <c r="C152" s="35" t="s">
        <v>181</v>
      </c>
      <c r="D152" s="47">
        <v>30000</v>
      </c>
      <c r="E152" s="37" t="s">
        <v>117</v>
      </c>
    </row>
    <row r="153" spans="2:6" x14ac:dyDescent="0.3">
      <c r="D153" s="59"/>
      <c r="E153" s="37"/>
    </row>
    <row r="154" spans="2:6" x14ac:dyDescent="0.3">
      <c r="B154" s="40" t="s">
        <v>182</v>
      </c>
      <c r="D154" s="59"/>
      <c r="E154" s="37"/>
    </row>
    <row r="155" spans="2:6" x14ac:dyDescent="0.3">
      <c r="B155" s="40"/>
      <c r="C155" t="s">
        <v>183</v>
      </c>
      <c r="D155" s="60">
        <v>100</v>
      </c>
      <c r="E155" s="37" t="s">
        <v>184</v>
      </c>
      <c r="F155" s="39" t="s">
        <v>185</v>
      </c>
    </row>
    <row r="156" spans="2:6" x14ac:dyDescent="0.3">
      <c r="B156" s="40"/>
      <c r="C156" t="s">
        <v>186</v>
      </c>
      <c r="D156" s="60">
        <v>200</v>
      </c>
      <c r="E156" s="37" t="s">
        <v>184</v>
      </c>
      <c r="F156" s="39" t="s">
        <v>185</v>
      </c>
    </row>
    <row r="157" spans="2:6" x14ac:dyDescent="0.3">
      <c r="B157" s="40"/>
      <c r="C157" t="s">
        <v>187</v>
      </c>
      <c r="D157" s="60">
        <v>300</v>
      </c>
      <c r="E157" s="37" t="s">
        <v>184</v>
      </c>
      <c r="F157" s="39" t="s">
        <v>185</v>
      </c>
    </row>
    <row r="158" spans="2:6" x14ac:dyDescent="0.3">
      <c r="B158" s="40"/>
      <c r="C158" t="s">
        <v>188</v>
      </c>
      <c r="D158" s="60">
        <v>300</v>
      </c>
      <c r="E158" s="37" t="s">
        <v>184</v>
      </c>
      <c r="F158" s="39" t="s">
        <v>185</v>
      </c>
    </row>
    <row r="159" spans="2:6" x14ac:dyDescent="0.3">
      <c r="B159" s="40"/>
      <c r="C159" t="s">
        <v>189</v>
      </c>
      <c r="D159" s="60">
        <v>300</v>
      </c>
      <c r="E159" s="37" t="s">
        <v>184</v>
      </c>
      <c r="F159" s="39" t="s">
        <v>185</v>
      </c>
    </row>
    <row r="160" spans="2:6" x14ac:dyDescent="0.3">
      <c r="B160" s="40"/>
      <c r="C160" t="s">
        <v>190</v>
      </c>
      <c r="D160" s="60">
        <v>300</v>
      </c>
      <c r="E160" s="37" t="s">
        <v>184</v>
      </c>
      <c r="F160" s="39" t="s">
        <v>185</v>
      </c>
    </row>
    <row r="161" spans="1:6" x14ac:dyDescent="0.3">
      <c r="B161" s="40"/>
      <c r="C161" t="s">
        <v>191</v>
      </c>
      <c r="D161" s="60">
        <v>300</v>
      </c>
      <c r="E161" s="37" t="s">
        <v>184</v>
      </c>
      <c r="F161" s="39" t="s">
        <v>185</v>
      </c>
    </row>
    <row r="162" spans="1:6" x14ac:dyDescent="0.3">
      <c r="B162" s="40"/>
      <c r="C162" t="s">
        <v>192</v>
      </c>
      <c r="D162" s="60">
        <v>300</v>
      </c>
      <c r="E162" s="37" t="s">
        <v>184</v>
      </c>
      <c r="F162" s="39" t="s">
        <v>185</v>
      </c>
    </row>
    <row r="163" spans="1:6" x14ac:dyDescent="0.3">
      <c r="B163" s="40"/>
      <c r="C163" t="s">
        <v>193</v>
      </c>
      <c r="D163" s="60">
        <v>300</v>
      </c>
      <c r="E163" s="37" t="s">
        <v>184</v>
      </c>
      <c r="F163" s="39" t="s">
        <v>185</v>
      </c>
    </row>
    <row r="164" spans="1:6" x14ac:dyDescent="0.3">
      <c r="B164" s="40"/>
      <c r="C164" t="s">
        <v>194</v>
      </c>
      <c r="D164" s="60">
        <v>300</v>
      </c>
      <c r="E164" s="37" t="s">
        <v>184</v>
      </c>
      <c r="F164" s="39" t="s">
        <v>185</v>
      </c>
    </row>
    <row r="165" spans="1:6" x14ac:dyDescent="0.3">
      <c r="B165" s="40"/>
      <c r="C165" t="s">
        <v>195</v>
      </c>
      <c r="D165" s="49">
        <v>10</v>
      </c>
      <c r="E165" s="37" t="s">
        <v>196</v>
      </c>
      <c r="F165" s="39" t="s">
        <v>197</v>
      </c>
    </row>
    <row r="166" spans="1:6" x14ac:dyDescent="0.3">
      <c r="B166" s="40"/>
      <c r="E166" s="32"/>
    </row>
    <row r="167" spans="1:6" x14ac:dyDescent="0.3">
      <c r="B167" s="40"/>
      <c r="D167" s="59"/>
      <c r="E167" s="37"/>
    </row>
    <row r="168" spans="1:6" x14ac:dyDescent="0.3">
      <c r="D168" s="59"/>
      <c r="E168" s="37"/>
    </row>
    <row r="169" spans="1:6" x14ac:dyDescent="0.3">
      <c r="D169" s="59"/>
      <c r="E169" s="37"/>
    </row>
    <row r="170" spans="1:6" x14ac:dyDescent="0.3">
      <c r="A170" s="3" t="s">
        <v>198</v>
      </c>
      <c r="D170" s="59"/>
      <c r="E170" s="37"/>
    </row>
    <row r="171" spans="1:6" x14ac:dyDescent="0.3"/>
    <row r="172" spans="1:6" x14ac:dyDescent="0.3"/>
  </sheetData>
  <phoneticPr fontId="23" type="noConversion"/>
  <dataValidations count="5">
    <dataValidation type="list" allowBlank="1" showInputMessage="1" showErrorMessage="1" sqref="D25:D29" xr:uid="{BA71F660-27F3-4A78-A9F5-9DD43B9BEDBF}">
      <formula1>"Vlaanderen,Brussel/Wallonië"</formula1>
    </dataValidation>
    <dataValidation type="list" allowBlank="1" showInputMessage="1" showErrorMessage="1" sqref="D93" xr:uid="{B6580073-20CF-4BCB-97A3-A1221F59DB8C}">
      <formula1>"Ja,Neen"</formula1>
    </dataValidation>
    <dataValidation type="list" allowBlank="1" showInputMessage="1" showErrorMessage="1" sqref="D30:D34" xr:uid="{8A2BFC4B-1DB3-4327-B1E4-8287B411441E}">
      <formula1>"Vlaanderen,Brussel/Waals Gewest"</formula1>
    </dataValidation>
    <dataValidation type="list" allowBlank="1" showInputMessage="1" showErrorMessage="1" sqref="D107" xr:uid="{506DF94E-8FF8-465E-912E-AE1F5716B69C}">
      <formula1>"Bullet krediet,Amortiserend krediet"</formula1>
    </dataValidation>
    <dataValidation type="list" allowBlank="1" showInputMessage="1" showErrorMessage="1" sqref="D109:D110" xr:uid="{5DA125F8-48B8-459C-B904-A1D207A1E6FF}">
      <formula1>"Vast,Variabel"</formula1>
    </dataValidation>
  </dataValidations>
  <hyperlinks>
    <hyperlink ref="H121" r:id="rId1" xr:uid="{D8D72EE8-4C2C-45C5-BCE3-0CF825C08583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1747-97CE-4D00-B4B4-6094F9A7F2D9}">
  <sheetPr>
    <tabColor rgb="FFFFFF99"/>
  </sheetPr>
  <dimension ref="A1:Q182"/>
  <sheetViews>
    <sheetView showGridLines="0" tabSelected="1" zoomScale="110" zoomScaleNormal="110" workbookViewId="0">
      <pane xSplit="6" ySplit="7" topLeftCell="G143" activePane="bottomRight" state="frozen"/>
      <selection pane="topRight" activeCell="G1" sqref="G1"/>
      <selection pane="bottomLeft" activeCell="A8" sqref="A8"/>
      <selection pane="bottomRight" activeCell="L15" sqref="K15:L15"/>
    </sheetView>
  </sheetViews>
  <sheetFormatPr defaultColWidth="0" defaultRowHeight="14.4" zeroHeight="1" outlineLevelCol="3" x14ac:dyDescent="0.3"/>
  <cols>
    <col min="1" max="2" width="3.44140625" customWidth="1"/>
    <col min="3" max="3" width="47.5546875" customWidth="1"/>
    <col min="4" max="4" width="16.6640625" hidden="1" customWidth="1" outlineLevel="3"/>
    <col min="5" max="5" width="168.109375" hidden="1" customWidth="1" outlineLevel="3"/>
    <col min="6" max="6" width="32.5546875" hidden="1" customWidth="1" outlineLevel="3"/>
    <col min="7" max="7" width="15.44140625" customWidth="1" collapsed="1"/>
    <col min="8" max="16" width="15.44140625" customWidth="1"/>
    <col min="17" max="17" width="9.109375" customWidth="1"/>
    <col min="18" max="16384" width="9.109375" hidden="1"/>
  </cols>
  <sheetData>
    <row r="1" spans="2:16" s="23" customFormat="1" ht="18" x14ac:dyDescent="0.35">
      <c r="B1" s="24" t="s">
        <v>0</v>
      </c>
    </row>
    <row r="2" spans="2:16" s="26" customFormat="1" x14ac:dyDescent="0.3">
      <c r="B2" s="27" t="s">
        <v>199</v>
      </c>
    </row>
    <row r="3" spans="2:16" s="26" customFormat="1" x14ac:dyDescent="0.3">
      <c r="B3" s="27"/>
    </row>
    <row r="4" spans="2:16" s="26" customFormat="1" x14ac:dyDescent="0.3"/>
    <row r="5" spans="2:16" x14ac:dyDescent="0.3"/>
    <row r="6" spans="2:16" ht="15" thickBot="1" x14ac:dyDescent="0.35">
      <c r="C6" s="29"/>
      <c r="D6" s="29" t="s">
        <v>33</v>
      </c>
      <c r="E6" s="29" t="s">
        <v>34</v>
      </c>
      <c r="F6" s="29" t="s">
        <v>35</v>
      </c>
      <c r="G6" s="29" t="s">
        <v>200</v>
      </c>
      <c r="H6" s="29" t="s">
        <v>201</v>
      </c>
      <c r="I6" s="29" t="s">
        <v>202</v>
      </c>
      <c r="J6" s="29" t="s">
        <v>203</v>
      </c>
      <c r="K6" s="29" t="s">
        <v>204</v>
      </c>
      <c r="L6" s="29" t="s">
        <v>205</v>
      </c>
      <c r="M6" s="29"/>
      <c r="N6" s="29"/>
      <c r="O6" s="29"/>
      <c r="P6" s="29"/>
    </row>
    <row r="7" spans="2:16" ht="4.5" customHeight="1" x14ac:dyDescent="0.3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15" thickBot="1" x14ac:dyDescent="0.35">
      <c r="C8" s="33" t="s">
        <v>206</v>
      </c>
      <c r="D8" s="33"/>
      <c r="E8" s="33"/>
      <c r="F8" s="33"/>
      <c r="G8" s="94"/>
      <c r="H8" s="33"/>
      <c r="I8" s="33"/>
      <c r="J8" s="33"/>
      <c r="K8" s="33"/>
      <c r="L8" s="33"/>
      <c r="M8" s="33"/>
      <c r="N8" s="33"/>
      <c r="O8" s="33"/>
      <c r="P8" s="33"/>
    </row>
    <row r="9" spans="2:16" x14ac:dyDescent="0.3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2:16" x14ac:dyDescent="0.3">
      <c r="C10" s="62" t="s">
        <v>207</v>
      </c>
    </row>
    <row r="11" spans="2:16" x14ac:dyDescent="0.3">
      <c r="C11" s="50" t="s">
        <v>208</v>
      </c>
      <c r="G11" s="18">
        <v>0</v>
      </c>
      <c r="H11" s="18">
        <v>0</v>
      </c>
      <c r="I11" s="18">
        <v>0</v>
      </c>
      <c r="J11" s="18"/>
      <c r="K11" s="18"/>
      <c r="L11" s="18"/>
      <c r="M11" s="18"/>
      <c r="N11" s="18"/>
      <c r="O11" s="18"/>
      <c r="P11" s="18"/>
    </row>
    <row r="12" spans="2:16" x14ac:dyDescent="0.3">
      <c r="C12" s="50" t="s">
        <v>209</v>
      </c>
      <c r="G12" s="18">
        <v>62</v>
      </c>
      <c r="H12" s="18">
        <v>75</v>
      </c>
      <c r="I12" s="18">
        <v>71</v>
      </c>
      <c r="J12" s="18"/>
      <c r="K12" s="18"/>
      <c r="L12" s="18"/>
      <c r="M12" s="18"/>
      <c r="N12" s="18"/>
      <c r="O12" s="18"/>
      <c r="P12" s="18"/>
    </row>
    <row r="13" spans="2:16" x14ac:dyDescent="0.3">
      <c r="C13" s="50" t="s">
        <v>210</v>
      </c>
      <c r="G13" s="18">
        <v>95</v>
      </c>
      <c r="H13" s="18">
        <v>78</v>
      </c>
      <c r="I13" s="18">
        <v>128</v>
      </c>
      <c r="J13" s="18">
        <v>92</v>
      </c>
      <c r="K13" s="18">
        <v>87</v>
      </c>
      <c r="L13" s="18">
        <v>87</v>
      </c>
      <c r="M13" s="18"/>
      <c r="N13" s="18"/>
      <c r="O13" s="18"/>
      <c r="P13" s="18"/>
    </row>
    <row r="14" spans="2:16" x14ac:dyDescent="0.3">
      <c r="C14" s="50" t="s">
        <v>211</v>
      </c>
      <c r="G14" s="18">
        <v>101</v>
      </c>
      <c r="H14" s="18">
        <v>105</v>
      </c>
      <c r="I14" s="18">
        <v>137</v>
      </c>
      <c r="J14" s="18">
        <v>133</v>
      </c>
      <c r="K14" s="18">
        <v>121</v>
      </c>
      <c r="L14" s="18">
        <v>100</v>
      </c>
      <c r="M14" s="18"/>
      <c r="N14" s="18"/>
      <c r="O14" s="18"/>
      <c r="P14" s="18"/>
    </row>
    <row r="15" spans="2:16" x14ac:dyDescent="0.3">
      <c r="C15" s="50" t="s">
        <v>212</v>
      </c>
      <c r="D15" s="39" t="s">
        <v>213</v>
      </c>
      <c r="E15" s="39" t="str">
        <f>"BVO"&amp;" "&amp;C15</f>
        <v>BVO Totaal BVO</v>
      </c>
      <c r="G15" s="63">
        <f>SUMPRODUCT(G11:G14,G17:G20)</f>
        <v>896</v>
      </c>
      <c r="H15" s="63">
        <f t="shared" ref="H15:P15" si="0">SUMPRODUCT(H11:H14,H17:H20)</f>
        <v>825</v>
      </c>
      <c r="I15" s="63">
        <f t="shared" si="0"/>
        <v>956</v>
      </c>
      <c r="J15" s="63">
        <f t="shared" si="0"/>
        <v>1002</v>
      </c>
      <c r="K15" s="63">
        <f>SUMPRODUCT(K11:K14,K17:K20)</f>
        <v>1040</v>
      </c>
      <c r="L15" s="63">
        <f t="shared" si="0"/>
        <v>961</v>
      </c>
      <c r="M15" s="63">
        <f t="shared" si="0"/>
        <v>0</v>
      </c>
      <c r="N15" s="63">
        <f t="shared" si="0"/>
        <v>0</v>
      </c>
      <c r="O15" s="63">
        <f t="shared" si="0"/>
        <v>0</v>
      </c>
      <c r="P15" s="63">
        <f t="shared" si="0"/>
        <v>0</v>
      </c>
    </row>
    <row r="16" spans="2:16" x14ac:dyDescent="0.3">
      <c r="C16" s="62" t="s">
        <v>214</v>
      </c>
    </row>
    <row r="17" spans="3:16" x14ac:dyDescent="0.3">
      <c r="C17" s="50" t="s">
        <v>208</v>
      </c>
      <c r="D17" s="39" t="s">
        <v>215</v>
      </c>
      <c r="E17" s="39" t="str">
        <f>"Aantal"&amp;" "&amp;C17&amp;"s"</f>
        <v>Aantal Studios</v>
      </c>
      <c r="G17" s="64">
        <f>COUNTIF(G25:G53,"Studio")</f>
        <v>0</v>
      </c>
      <c r="H17" s="64">
        <f t="shared" ref="H17:P17" si="1">COUNTIF(H25:H53,"Studio")</f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  <c r="N17" s="64">
        <f t="shared" si="1"/>
        <v>0</v>
      </c>
      <c r="O17" s="64">
        <f t="shared" si="1"/>
        <v>0</v>
      </c>
      <c r="P17" s="64">
        <f t="shared" si="1"/>
        <v>0</v>
      </c>
    </row>
    <row r="18" spans="3:16" x14ac:dyDescent="0.3">
      <c r="C18" s="50" t="s">
        <v>216</v>
      </c>
      <c r="D18" s="39" t="s">
        <v>215</v>
      </c>
      <c r="E18" s="39" t="str">
        <f>"Aantal"&amp;" "&amp;C18&amp;"en"</f>
        <v>Aantal 1 - slpk appartementen</v>
      </c>
      <c r="G18" s="64">
        <f>COUNTIF(G25:G53,"1 - slpk")</f>
        <v>2</v>
      </c>
      <c r="H18" s="64">
        <f t="shared" ref="H18:P18" si="2">COUNTIF(H25:H53,"1 - slpk")</f>
        <v>3</v>
      </c>
      <c r="I18" s="64">
        <f t="shared" si="2"/>
        <v>6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</row>
    <row r="19" spans="3:16" x14ac:dyDescent="0.3">
      <c r="C19" s="50" t="s">
        <v>217</v>
      </c>
      <c r="D19" s="39" t="s">
        <v>215</v>
      </c>
      <c r="E19" s="39" t="str">
        <f t="shared" ref="E19:E20" si="3">"Aantal"&amp;" "&amp;C19&amp;"en"</f>
        <v>Aantal 2 - slpk appartementen</v>
      </c>
      <c r="G19" s="64">
        <f>COUNTIF(G25:G53,"2 - slpk")</f>
        <v>6</v>
      </c>
      <c r="H19" s="64">
        <f t="shared" ref="H19:P19" si="4">COUNTIF(H25:H53,"2 - slpk")</f>
        <v>5</v>
      </c>
      <c r="I19" s="64">
        <f t="shared" si="4"/>
        <v>2</v>
      </c>
      <c r="J19" s="64">
        <f t="shared" si="4"/>
        <v>8</v>
      </c>
      <c r="K19" s="64">
        <f t="shared" si="4"/>
        <v>5</v>
      </c>
      <c r="L19" s="64">
        <f t="shared" si="4"/>
        <v>3</v>
      </c>
      <c r="M19" s="64">
        <f t="shared" si="4"/>
        <v>0</v>
      </c>
      <c r="N19" s="64">
        <f t="shared" si="4"/>
        <v>0</v>
      </c>
      <c r="O19" s="64">
        <f t="shared" si="4"/>
        <v>0</v>
      </c>
      <c r="P19" s="64">
        <f t="shared" si="4"/>
        <v>0</v>
      </c>
    </row>
    <row r="20" spans="3:16" x14ac:dyDescent="0.3">
      <c r="C20" s="50" t="s">
        <v>218</v>
      </c>
      <c r="D20" s="39" t="s">
        <v>215</v>
      </c>
      <c r="E20" s="39" t="str">
        <f t="shared" si="3"/>
        <v>Aantal 3 - slpk appartementen</v>
      </c>
      <c r="G20" s="64">
        <f>COUNTIF(G25:G53,"3 - slpk")</f>
        <v>2</v>
      </c>
      <c r="H20" s="64">
        <f t="shared" ref="H20:P20" si="5">COUNTIF(H25:H53,"3 - slpk")</f>
        <v>2</v>
      </c>
      <c r="I20" s="64">
        <f t="shared" si="5"/>
        <v>2</v>
      </c>
      <c r="J20" s="64">
        <f t="shared" si="5"/>
        <v>2</v>
      </c>
      <c r="K20" s="64">
        <f t="shared" si="5"/>
        <v>5</v>
      </c>
      <c r="L20" s="64">
        <f t="shared" si="5"/>
        <v>7</v>
      </c>
      <c r="M20" s="64">
        <f t="shared" si="5"/>
        <v>0</v>
      </c>
      <c r="N20" s="64">
        <f t="shared" si="5"/>
        <v>0</v>
      </c>
      <c r="O20" s="64">
        <f t="shared" si="5"/>
        <v>0</v>
      </c>
      <c r="P20" s="64">
        <f t="shared" si="5"/>
        <v>0</v>
      </c>
    </row>
    <row r="21" spans="3:16" x14ac:dyDescent="0.3">
      <c r="D21" s="39"/>
      <c r="E21" s="39"/>
    </row>
    <row r="22" spans="3:16" ht="15" thickBot="1" x14ac:dyDescent="0.35">
      <c r="C22" s="33" t="s">
        <v>219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3:16" x14ac:dyDescent="0.3"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3:16" x14ac:dyDescent="0.3">
      <c r="C24" s="65" t="s">
        <v>220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3:16" x14ac:dyDescent="0.3">
      <c r="C25" s="66" t="s">
        <v>221</v>
      </c>
      <c r="D25" s="39" t="s">
        <v>57</v>
      </c>
      <c r="E25" s="61"/>
      <c r="F25" s="61"/>
      <c r="G25" s="11" t="s">
        <v>222</v>
      </c>
      <c r="H25" s="11" t="s">
        <v>222</v>
      </c>
      <c r="I25" s="11" t="s">
        <v>222</v>
      </c>
      <c r="J25" s="11" t="s">
        <v>222</v>
      </c>
      <c r="K25" s="11" t="s">
        <v>222</v>
      </c>
      <c r="L25" s="11" t="s">
        <v>222</v>
      </c>
      <c r="M25" s="11"/>
      <c r="N25" s="11"/>
      <c r="O25" s="11"/>
      <c r="P25" s="11"/>
    </row>
    <row r="26" spans="3:16" x14ac:dyDescent="0.3">
      <c r="C26" s="66" t="s">
        <v>33</v>
      </c>
      <c r="D26" s="39" t="s">
        <v>57</v>
      </c>
      <c r="E26" s="61"/>
      <c r="F26" s="61"/>
      <c r="G26" s="11" t="s">
        <v>223</v>
      </c>
      <c r="H26" s="11" t="s">
        <v>224</v>
      </c>
      <c r="I26" s="11" t="s">
        <v>224</v>
      </c>
      <c r="J26" s="11" t="s">
        <v>225</v>
      </c>
      <c r="K26" s="11" t="s">
        <v>225</v>
      </c>
      <c r="L26" s="11" t="s">
        <v>225</v>
      </c>
      <c r="M26" s="11"/>
      <c r="N26" s="11"/>
      <c r="O26" s="11"/>
      <c r="P26" s="11"/>
    </row>
    <row r="27" spans="3:16" x14ac:dyDescent="0.3">
      <c r="C27" s="65" t="s">
        <v>226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3:16" x14ac:dyDescent="0.3">
      <c r="C28" s="66" t="s">
        <v>221</v>
      </c>
      <c r="D28" s="39" t="s">
        <v>57</v>
      </c>
      <c r="E28" s="61"/>
      <c r="F28" s="61"/>
      <c r="G28" s="11" t="s">
        <v>222</v>
      </c>
      <c r="H28" s="11" t="s">
        <v>222</v>
      </c>
      <c r="I28" s="11" t="s">
        <v>222</v>
      </c>
      <c r="J28" s="11" t="s">
        <v>222</v>
      </c>
      <c r="K28" s="11" t="s">
        <v>222</v>
      </c>
      <c r="L28" s="11" t="s">
        <v>222</v>
      </c>
      <c r="M28" s="11"/>
      <c r="N28" s="11"/>
      <c r="O28" s="11"/>
      <c r="P28" s="11"/>
    </row>
    <row r="29" spans="3:16" x14ac:dyDescent="0.3">
      <c r="C29" s="66" t="s">
        <v>33</v>
      </c>
      <c r="D29" s="39" t="s">
        <v>57</v>
      </c>
      <c r="E29" s="61"/>
      <c r="F29" s="61"/>
      <c r="G29" s="11" t="s">
        <v>225</v>
      </c>
      <c r="H29" s="11" t="s">
        <v>224</v>
      </c>
      <c r="I29" s="11" t="s">
        <v>224</v>
      </c>
      <c r="J29" s="11" t="s">
        <v>225</v>
      </c>
      <c r="K29" s="11" t="s">
        <v>225</v>
      </c>
      <c r="L29" s="11" t="s">
        <v>225</v>
      </c>
      <c r="M29" s="11"/>
      <c r="N29" s="11"/>
      <c r="O29" s="11"/>
      <c r="P29" s="11"/>
    </row>
    <row r="30" spans="3:16" x14ac:dyDescent="0.3">
      <c r="C30" s="65" t="s">
        <v>227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  <row r="31" spans="3:16" x14ac:dyDescent="0.3">
      <c r="C31" s="66" t="s">
        <v>221</v>
      </c>
      <c r="D31" s="39" t="s">
        <v>57</v>
      </c>
      <c r="E31" s="61"/>
      <c r="F31" s="61"/>
      <c r="G31" s="11" t="s">
        <v>222</v>
      </c>
      <c r="H31" s="11" t="s">
        <v>222</v>
      </c>
      <c r="I31" s="11" t="s">
        <v>222</v>
      </c>
      <c r="J31" s="11" t="s">
        <v>222</v>
      </c>
      <c r="K31" s="11" t="s">
        <v>222</v>
      </c>
      <c r="L31" s="11" t="s">
        <v>222</v>
      </c>
      <c r="M31" s="11"/>
      <c r="N31" s="11"/>
      <c r="O31" s="11"/>
      <c r="P31" s="11"/>
    </row>
    <row r="32" spans="3:16" x14ac:dyDescent="0.3">
      <c r="C32" s="66" t="s">
        <v>33</v>
      </c>
      <c r="D32" s="39" t="s">
        <v>57</v>
      </c>
      <c r="E32" s="61"/>
      <c r="F32" s="61"/>
      <c r="G32" s="11" t="s">
        <v>225</v>
      </c>
      <c r="H32" s="11" t="s">
        <v>224</v>
      </c>
      <c r="I32" s="11" t="s">
        <v>224</v>
      </c>
      <c r="J32" s="11" t="s">
        <v>225</v>
      </c>
      <c r="K32" s="11" t="s">
        <v>225</v>
      </c>
      <c r="L32" s="11" t="s">
        <v>225</v>
      </c>
      <c r="M32" s="11"/>
      <c r="N32" s="11"/>
      <c r="O32" s="11"/>
      <c r="P32" s="11"/>
    </row>
    <row r="33" spans="3:16" x14ac:dyDescent="0.3">
      <c r="C33" s="65" t="s">
        <v>228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3:16" x14ac:dyDescent="0.3">
      <c r="C34" s="66" t="s">
        <v>221</v>
      </c>
      <c r="D34" s="39" t="s">
        <v>57</v>
      </c>
      <c r="E34" s="61"/>
      <c r="F34" s="61"/>
      <c r="G34" s="11" t="s">
        <v>222</v>
      </c>
      <c r="H34" s="11" t="s">
        <v>222</v>
      </c>
      <c r="I34" s="11" t="s">
        <v>222</v>
      </c>
      <c r="J34" s="11" t="s">
        <v>222</v>
      </c>
      <c r="K34" s="11" t="s">
        <v>222</v>
      </c>
      <c r="L34" s="11" t="s">
        <v>222</v>
      </c>
      <c r="M34" s="11"/>
      <c r="N34" s="11"/>
      <c r="O34" s="11"/>
      <c r="P34" s="11"/>
    </row>
    <row r="35" spans="3:16" x14ac:dyDescent="0.3">
      <c r="C35" s="66" t="s">
        <v>33</v>
      </c>
      <c r="D35" s="39" t="s">
        <v>57</v>
      </c>
      <c r="E35" s="61"/>
      <c r="F35" s="61"/>
      <c r="G35" s="11" t="s">
        <v>225</v>
      </c>
      <c r="H35" s="11" t="s">
        <v>225</v>
      </c>
      <c r="I35" s="11" t="s">
        <v>224</v>
      </c>
      <c r="J35" s="11" t="s">
        <v>225</v>
      </c>
      <c r="K35" s="11" t="s">
        <v>225</v>
      </c>
      <c r="L35" s="11" t="s">
        <v>223</v>
      </c>
      <c r="M35" s="11"/>
      <c r="N35" s="11"/>
      <c r="O35" s="11"/>
      <c r="P35" s="11"/>
    </row>
    <row r="36" spans="3:16" x14ac:dyDescent="0.3">
      <c r="C36" s="65" t="s">
        <v>229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3:16" x14ac:dyDescent="0.3">
      <c r="C37" s="66" t="s">
        <v>221</v>
      </c>
      <c r="D37" s="39" t="s">
        <v>57</v>
      </c>
      <c r="E37" s="61"/>
      <c r="F37" s="61"/>
      <c r="G37" s="11" t="s">
        <v>222</v>
      </c>
      <c r="H37" s="11" t="s">
        <v>222</v>
      </c>
      <c r="I37" s="11" t="s">
        <v>222</v>
      </c>
      <c r="J37" s="11" t="s">
        <v>222</v>
      </c>
      <c r="K37" s="11" t="s">
        <v>222</v>
      </c>
      <c r="L37" s="11" t="s">
        <v>222</v>
      </c>
      <c r="M37" s="11"/>
      <c r="N37" s="11"/>
      <c r="O37" s="11"/>
      <c r="P37" s="11"/>
    </row>
    <row r="38" spans="3:16" x14ac:dyDescent="0.3">
      <c r="C38" s="66" t="s">
        <v>33</v>
      </c>
      <c r="D38" s="39" t="s">
        <v>57</v>
      </c>
      <c r="E38" s="61"/>
      <c r="F38" s="61"/>
      <c r="G38" s="11" t="s">
        <v>224</v>
      </c>
      <c r="H38" s="11" t="s">
        <v>225</v>
      </c>
      <c r="I38" s="11" t="s">
        <v>224</v>
      </c>
      <c r="J38" s="11" t="s">
        <v>225</v>
      </c>
      <c r="K38" s="11" t="s">
        <v>225</v>
      </c>
      <c r="L38" s="11" t="s">
        <v>223</v>
      </c>
      <c r="M38" s="11"/>
      <c r="N38" s="11"/>
      <c r="O38" s="11"/>
      <c r="P38" s="11"/>
    </row>
    <row r="39" spans="3:16" x14ac:dyDescent="0.3">
      <c r="C39" s="65" t="s">
        <v>230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0" spans="3:16" x14ac:dyDescent="0.3">
      <c r="C40" s="66" t="s">
        <v>221</v>
      </c>
      <c r="D40" s="39" t="s">
        <v>57</v>
      </c>
      <c r="E40" s="61"/>
      <c r="F40" s="61"/>
      <c r="G40" s="11" t="s">
        <v>222</v>
      </c>
      <c r="H40" s="11" t="s">
        <v>222</v>
      </c>
      <c r="I40" s="11" t="s">
        <v>222</v>
      </c>
      <c r="J40" s="11" t="s">
        <v>222</v>
      </c>
      <c r="K40" s="11" t="s">
        <v>222</v>
      </c>
      <c r="L40" s="11" t="s">
        <v>222</v>
      </c>
      <c r="M40" s="11"/>
      <c r="N40" s="11"/>
      <c r="O40" s="11"/>
      <c r="P40" s="11"/>
    </row>
    <row r="41" spans="3:16" x14ac:dyDescent="0.3">
      <c r="C41" s="66" t="s">
        <v>33</v>
      </c>
      <c r="D41" s="39" t="s">
        <v>57</v>
      </c>
      <c r="E41" s="61"/>
      <c r="F41" s="61"/>
      <c r="G41" s="11" t="s">
        <v>223</v>
      </c>
      <c r="H41" s="11" t="s">
        <v>225</v>
      </c>
      <c r="I41" s="11" t="s">
        <v>224</v>
      </c>
      <c r="J41" s="11" t="s">
        <v>225</v>
      </c>
      <c r="K41" s="11" t="s">
        <v>223</v>
      </c>
      <c r="L41" s="11" t="s">
        <v>223</v>
      </c>
      <c r="M41" s="11"/>
      <c r="N41" s="11"/>
      <c r="O41" s="11"/>
      <c r="P41" s="11"/>
    </row>
    <row r="42" spans="3:16" x14ac:dyDescent="0.3">
      <c r="C42" s="65" t="s">
        <v>231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3:16" x14ac:dyDescent="0.3">
      <c r="C43" s="66" t="s">
        <v>221</v>
      </c>
      <c r="D43" s="39" t="s">
        <v>57</v>
      </c>
      <c r="E43" s="61"/>
      <c r="F43" s="61"/>
      <c r="G43" s="11" t="s">
        <v>222</v>
      </c>
      <c r="H43" s="11" t="s">
        <v>222</v>
      </c>
      <c r="I43" s="11" t="s">
        <v>222</v>
      </c>
      <c r="J43" s="11" t="s">
        <v>222</v>
      </c>
      <c r="K43" s="11" t="s">
        <v>222</v>
      </c>
      <c r="L43" s="11" t="s">
        <v>222</v>
      </c>
      <c r="M43" s="11"/>
      <c r="N43" s="11"/>
      <c r="O43" s="11"/>
      <c r="P43" s="11"/>
    </row>
    <row r="44" spans="3:16" x14ac:dyDescent="0.3">
      <c r="C44" s="66" t="s">
        <v>33</v>
      </c>
      <c r="D44" s="39" t="s">
        <v>57</v>
      </c>
      <c r="E44" s="61"/>
      <c r="F44" s="61"/>
      <c r="G44" s="11" t="s">
        <v>225</v>
      </c>
      <c r="H44" s="11" t="s">
        <v>225</v>
      </c>
      <c r="I44" s="11" t="s">
        <v>225</v>
      </c>
      <c r="J44" s="11" t="s">
        <v>225</v>
      </c>
      <c r="K44" s="11" t="s">
        <v>223</v>
      </c>
      <c r="L44" s="11" t="s">
        <v>223</v>
      </c>
      <c r="M44" s="11"/>
      <c r="N44" s="11"/>
      <c r="O44" s="11"/>
      <c r="P44" s="11"/>
    </row>
    <row r="45" spans="3:16" x14ac:dyDescent="0.3">
      <c r="C45" s="65" t="s">
        <v>232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3:16" x14ac:dyDescent="0.3">
      <c r="C46" s="66" t="s">
        <v>221</v>
      </c>
      <c r="D46" s="39" t="s">
        <v>57</v>
      </c>
      <c r="E46" s="61"/>
      <c r="F46" s="61"/>
      <c r="G46" s="11" t="s">
        <v>222</v>
      </c>
      <c r="H46" s="11" t="s">
        <v>222</v>
      </c>
      <c r="I46" s="11" t="s">
        <v>222</v>
      </c>
      <c r="J46" s="11" t="s">
        <v>222</v>
      </c>
      <c r="K46" s="11" t="s">
        <v>222</v>
      </c>
      <c r="L46" s="11" t="s">
        <v>222</v>
      </c>
      <c r="M46" s="11"/>
      <c r="N46" s="11"/>
      <c r="O46" s="11"/>
      <c r="P46" s="11"/>
    </row>
    <row r="47" spans="3:16" x14ac:dyDescent="0.3">
      <c r="C47" s="66" t="s">
        <v>33</v>
      </c>
      <c r="D47" s="39" t="s">
        <v>57</v>
      </c>
      <c r="E47" s="61"/>
      <c r="F47" s="61"/>
      <c r="G47" s="11" t="s">
        <v>225</v>
      </c>
      <c r="H47" s="11" t="s">
        <v>225</v>
      </c>
      <c r="I47" s="11" t="s">
        <v>225</v>
      </c>
      <c r="J47" s="11" t="s">
        <v>225</v>
      </c>
      <c r="K47" s="11" t="s">
        <v>223</v>
      </c>
      <c r="L47" s="11" t="s">
        <v>223</v>
      </c>
      <c r="M47" s="11"/>
      <c r="N47" s="11"/>
      <c r="O47" s="11"/>
      <c r="P47" s="11"/>
    </row>
    <row r="48" spans="3:16" x14ac:dyDescent="0.3">
      <c r="C48" s="65" t="s">
        <v>233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</row>
    <row r="49" spans="3:16" x14ac:dyDescent="0.3">
      <c r="C49" s="66" t="s">
        <v>221</v>
      </c>
      <c r="D49" s="39" t="s">
        <v>57</v>
      </c>
      <c r="E49" s="61"/>
      <c r="F49" s="61"/>
      <c r="G49" s="11" t="s">
        <v>222</v>
      </c>
      <c r="H49" s="11" t="s">
        <v>222</v>
      </c>
      <c r="I49" s="11" t="s">
        <v>222</v>
      </c>
      <c r="J49" s="11" t="s">
        <v>222</v>
      </c>
      <c r="K49" s="11" t="s">
        <v>222</v>
      </c>
      <c r="L49" s="11" t="s">
        <v>222</v>
      </c>
      <c r="M49" s="11"/>
      <c r="N49" s="11"/>
      <c r="O49" s="11"/>
      <c r="P49" s="11"/>
    </row>
    <row r="50" spans="3:16" x14ac:dyDescent="0.3">
      <c r="C50" s="66" t="s">
        <v>33</v>
      </c>
      <c r="D50" s="39" t="s">
        <v>57</v>
      </c>
      <c r="E50" s="61"/>
      <c r="F50" s="61"/>
      <c r="G50" s="11" t="s">
        <v>225</v>
      </c>
      <c r="H50" s="11" t="s">
        <v>223</v>
      </c>
      <c r="I50" s="11" t="s">
        <v>223</v>
      </c>
      <c r="J50" s="11" t="s">
        <v>223</v>
      </c>
      <c r="K50" s="11" t="s">
        <v>223</v>
      </c>
      <c r="L50" s="11" t="s">
        <v>223</v>
      </c>
      <c r="M50" s="11"/>
      <c r="N50" s="11"/>
      <c r="O50" s="11"/>
      <c r="P50" s="11"/>
    </row>
    <row r="51" spans="3:16" x14ac:dyDescent="0.3">
      <c r="C51" s="65" t="s">
        <v>234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</row>
    <row r="52" spans="3:16" x14ac:dyDescent="0.3">
      <c r="C52" s="66" t="s">
        <v>221</v>
      </c>
      <c r="D52" s="39" t="s">
        <v>57</v>
      </c>
      <c r="E52" s="61"/>
      <c r="F52" s="61"/>
      <c r="G52" s="11" t="s">
        <v>222</v>
      </c>
      <c r="H52" s="11" t="s">
        <v>222</v>
      </c>
      <c r="I52" s="11" t="s">
        <v>222</v>
      </c>
      <c r="J52" s="11" t="s">
        <v>222</v>
      </c>
      <c r="K52" s="11" t="s">
        <v>222</v>
      </c>
      <c r="L52" s="11" t="s">
        <v>222</v>
      </c>
      <c r="M52" s="11"/>
      <c r="N52" s="11"/>
      <c r="O52" s="11"/>
      <c r="P52" s="11"/>
    </row>
    <row r="53" spans="3:16" x14ac:dyDescent="0.3">
      <c r="C53" s="66" t="s">
        <v>33</v>
      </c>
      <c r="D53" s="39" t="s">
        <v>57</v>
      </c>
      <c r="E53" s="61"/>
      <c r="F53" s="61"/>
      <c r="G53" s="11" t="s">
        <v>224</v>
      </c>
      <c r="H53" s="11" t="s">
        <v>223</v>
      </c>
      <c r="I53" s="11" t="s">
        <v>223</v>
      </c>
      <c r="J53" s="11" t="s">
        <v>223</v>
      </c>
      <c r="K53" s="11" t="s">
        <v>223</v>
      </c>
      <c r="L53" s="11" t="s">
        <v>223</v>
      </c>
      <c r="M53" s="11"/>
      <c r="N53" s="11"/>
      <c r="O53" s="11"/>
      <c r="P53" s="11"/>
    </row>
    <row r="54" spans="3:16" x14ac:dyDescent="0.3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</row>
    <row r="55" spans="3:16" x14ac:dyDescent="0.3">
      <c r="C55" s="35" t="s">
        <v>235</v>
      </c>
      <c r="D55" s="39" t="s">
        <v>215</v>
      </c>
      <c r="E55" s="39" t="s">
        <v>236</v>
      </c>
      <c r="G55" s="67">
        <f>COUNTIF(G25:G53,"Type 1")</f>
        <v>10</v>
      </c>
      <c r="H55" s="67">
        <f t="shared" ref="H55:P55" si="6">COUNTIF(H25:H53,"Type 1")</f>
        <v>10</v>
      </c>
      <c r="I55" s="67">
        <f t="shared" si="6"/>
        <v>10</v>
      </c>
      <c r="J55" s="67">
        <f t="shared" si="6"/>
        <v>10</v>
      </c>
      <c r="K55" s="67">
        <f t="shared" si="6"/>
        <v>10</v>
      </c>
      <c r="L55" s="67">
        <f t="shared" si="6"/>
        <v>10</v>
      </c>
      <c r="M55" s="67">
        <f t="shared" si="6"/>
        <v>0</v>
      </c>
      <c r="N55" s="67">
        <f t="shared" si="6"/>
        <v>0</v>
      </c>
      <c r="O55" s="67">
        <f t="shared" si="6"/>
        <v>0</v>
      </c>
      <c r="P55" s="67">
        <f t="shared" si="6"/>
        <v>0</v>
      </c>
    </row>
    <row r="56" spans="3:16" x14ac:dyDescent="0.3">
      <c r="C56" s="35" t="s">
        <v>237</v>
      </c>
      <c r="D56" s="39" t="s">
        <v>215</v>
      </c>
      <c r="E56" s="39" t="s">
        <v>238</v>
      </c>
      <c r="G56" s="67">
        <f>COUNTIF(G25:G53,"Type 2")</f>
        <v>0</v>
      </c>
      <c r="H56" s="67">
        <f t="shared" ref="H56:P56" si="7">COUNTIF(H25:H53,"Type 2")</f>
        <v>0</v>
      </c>
      <c r="I56" s="67">
        <f t="shared" si="7"/>
        <v>0</v>
      </c>
      <c r="J56" s="67">
        <f t="shared" si="7"/>
        <v>0</v>
      </c>
      <c r="K56" s="67">
        <f t="shared" si="7"/>
        <v>0</v>
      </c>
      <c r="L56" s="67">
        <f t="shared" si="7"/>
        <v>0</v>
      </c>
      <c r="M56" s="67">
        <f t="shared" si="7"/>
        <v>0</v>
      </c>
      <c r="N56" s="67">
        <f t="shared" si="7"/>
        <v>0</v>
      </c>
      <c r="O56" s="67">
        <f t="shared" si="7"/>
        <v>0</v>
      </c>
      <c r="P56" s="67">
        <f t="shared" si="7"/>
        <v>0</v>
      </c>
    </row>
    <row r="57" spans="3:16" x14ac:dyDescent="0.3">
      <c r="C57" s="35" t="s">
        <v>239</v>
      </c>
      <c r="D57" s="39" t="s">
        <v>215</v>
      </c>
      <c r="E57" s="39" t="s">
        <v>240</v>
      </c>
      <c r="G57" s="67">
        <f>COUNTIF(G25:G53,"Type 3")</f>
        <v>0</v>
      </c>
      <c r="H57" s="67">
        <f t="shared" ref="H57:P57" si="8">COUNTIF(H25:H53,"Type 3")</f>
        <v>0</v>
      </c>
      <c r="I57" s="67">
        <f t="shared" si="8"/>
        <v>0</v>
      </c>
      <c r="J57" s="67">
        <f t="shared" si="8"/>
        <v>0</v>
      </c>
      <c r="K57" s="67">
        <f t="shared" si="8"/>
        <v>0</v>
      </c>
      <c r="L57" s="67">
        <f t="shared" si="8"/>
        <v>0</v>
      </c>
      <c r="M57" s="67">
        <f t="shared" si="8"/>
        <v>0</v>
      </c>
      <c r="N57" s="67">
        <f t="shared" si="8"/>
        <v>0</v>
      </c>
      <c r="O57" s="67">
        <f t="shared" si="8"/>
        <v>0</v>
      </c>
      <c r="P57" s="67">
        <f t="shared" si="8"/>
        <v>0</v>
      </c>
    </row>
    <row r="58" spans="3:16" x14ac:dyDescent="0.3">
      <c r="C58" s="68" t="s">
        <v>241</v>
      </c>
      <c r="D58" s="39"/>
      <c r="G58" s="69">
        <f>IF((G55+G56+G57)=SUM(G17:G20),G55+G56+G57,"ERROR")</f>
        <v>10</v>
      </c>
      <c r="H58" s="69">
        <f t="shared" ref="H58:P58" si="9">H55+H56+H57</f>
        <v>10</v>
      </c>
      <c r="I58" s="69">
        <f t="shared" si="9"/>
        <v>10</v>
      </c>
      <c r="J58" s="69">
        <f t="shared" si="9"/>
        <v>10</v>
      </c>
      <c r="K58" s="69">
        <f t="shared" si="9"/>
        <v>10</v>
      </c>
      <c r="L58" s="69">
        <f t="shared" si="9"/>
        <v>10</v>
      </c>
      <c r="M58" s="69">
        <f t="shared" si="9"/>
        <v>0</v>
      </c>
      <c r="N58" s="69">
        <f t="shared" si="9"/>
        <v>0</v>
      </c>
      <c r="O58" s="69">
        <f t="shared" si="9"/>
        <v>0</v>
      </c>
      <c r="P58" s="69">
        <f t="shared" si="9"/>
        <v>0</v>
      </c>
    </row>
    <row r="59" spans="3:16" x14ac:dyDescent="0.3">
      <c r="C59" s="70" t="s">
        <v>222</v>
      </c>
      <c r="D59" s="39"/>
      <c r="G59" s="71">
        <f>SUM(G55:P55)</f>
        <v>60</v>
      </c>
      <c r="H59" s="71">
        <f t="shared" ref="H59:P61" si="10">SUM(H55:Q55)</f>
        <v>50</v>
      </c>
      <c r="I59" s="71">
        <f t="shared" si="10"/>
        <v>40</v>
      </c>
      <c r="J59" s="71">
        <f t="shared" si="10"/>
        <v>30</v>
      </c>
      <c r="K59" s="71">
        <f t="shared" si="10"/>
        <v>20</v>
      </c>
      <c r="L59" s="71">
        <f t="shared" si="10"/>
        <v>10</v>
      </c>
      <c r="M59" s="71">
        <f t="shared" si="10"/>
        <v>0</v>
      </c>
      <c r="N59" s="71">
        <f t="shared" si="10"/>
        <v>0</v>
      </c>
      <c r="O59" s="71">
        <f t="shared" si="10"/>
        <v>0</v>
      </c>
      <c r="P59" s="71">
        <f t="shared" si="10"/>
        <v>0</v>
      </c>
    </row>
    <row r="60" spans="3:16" x14ac:dyDescent="0.3">
      <c r="C60" s="70" t="s">
        <v>242</v>
      </c>
      <c r="D60" s="39"/>
      <c r="G60" s="71">
        <f>SUM(G56:P56)</f>
        <v>0</v>
      </c>
      <c r="H60" s="71">
        <f t="shared" si="10"/>
        <v>0</v>
      </c>
      <c r="I60" s="71">
        <f t="shared" si="10"/>
        <v>0</v>
      </c>
      <c r="J60" s="71">
        <f t="shared" si="10"/>
        <v>0</v>
      </c>
      <c r="K60" s="71">
        <f t="shared" si="10"/>
        <v>0</v>
      </c>
      <c r="L60" s="71">
        <f t="shared" si="10"/>
        <v>0</v>
      </c>
      <c r="M60" s="71">
        <f t="shared" si="10"/>
        <v>0</v>
      </c>
      <c r="N60" s="71">
        <f t="shared" si="10"/>
        <v>0</v>
      </c>
      <c r="O60" s="71">
        <f t="shared" si="10"/>
        <v>0</v>
      </c>
      <c r="P60" s="71">
        <f t="shared" si="10"/>
        <v>0</v>
      </c>
    </row>
    <row r="61" spans="3:16" x14ac:dyDescent="0.3">
      <c r="C61" s="70" t="s">
        <v>243</v>
      </c>
      <c r="D61" s="39"/>
      <c r="G61" s="71">
        <f>SUM(G57:P57)</f>
        <v>0</v>
      </c>
      <c r="H61" s="71">
        <f t="shared" si="10"/>
        <v>0</v>
      </c>
      <c r="I61" s="71">
        <f t="shared" si="10"/>
        <v>0</v>
      </c>
      <c r="J61" s="71">
        <f t="shared" si="10"/>
        <v>0</v>
      </c>
      <c r="K61" s="71">
        <f t="shared" si="10"/>
        <v>0</v>
      </c>
      <c r="L61" s="71">
        <f t="shared" si="10"/>
        <v>0</v>
      </c>
      <c r="M61" s="71">
        <f t="shared" si="10"/>
        <v>0</v>
      </c>
      <c r="N61" s="71">
        <f t="shared" si="10"/>
        <v>0</v>
      </c>
      <c r="O61" s="71">
        <f t="shared" si="10"/>
        <v>0</v>
      </c>
      <c r="P61" s="71">
        <f t="shared" si="10"/>
        <v>0</v>
      </c>
    </row>
    <row r="62" spans="3:16" x14ac:dyDescent="0.3"/>
    <row r="63" spans="3:16" ht="15" thickBot="1" x14ac:dyDescent="0.35">
      <c r="C63" s="33" t="s">
        <v>244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3:16" x14ac:dyDescent="0.3"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3:16" x14ac:dyDescent="0.3">
      <c r="C65" s="72" t="s">
        <v>245</v>
      </c>
      <c r="D65" s="61"/>
      <c r="E65" s="61"/>
      <c r="F65" s="61"/>
      <c r="G65" s="89">
        <v>2701.0804321728692</v>
      </c>
      <c r="H65" s="89">
        <v>2794.4633063463043</v>
      </c>
      <c r="I65" s="89">
        <v>2664.6364674533688</v>
      </c>
      <c r="J65" s="89">
        <v>2773.2165663200149</v>
      </c>
      <c r="K65" s="89">
        <v>2840.6656780359199</v>
      </c>
      <c r="L65" s="89">
        <f>K65</f>
        <v>2840.6656780359199</v>
      </c>
      <c r="M65" s="61"/>
      <c r="N65" s="61"/>
      <c r="O65" s="61"/>
      <c r="P65" s="61"/>
    </row>
    <row r="66" spans="3:16" x14ac:dyDescent="0.3">
      <c r="C66" s="73" t="s">
        <v>208</v>
      </c>
      <c r="D66" s="39" t="s">
        <v>117</v>
      </c>
      <c r="E66" s="39" t="s">
        <v>246</v>
      </c>
      <c r="F66" s="61"/>
      <c r="G66" s="47">
        <f>G$65*G11</f>
        <v>0</v>
      </c>
      <c r="H66" s="47">
        <f t="shared" ref="H66:P66" si="11">H$65*H11</f>
        <v>0</v>
      </c>
      <c r="I66" s="47">
        <f t="shared" si="11"/>
        <v>0</v>
      </c>
      <c r="J66" s="47">
        <f t="shared" si="11"/>
        <v>0</v>
      </c>
      <c r="K66" s="47">
        <f t="shared" si="11"/>
        <v>0</v>
      </c>
      <c r="L66" s="47">
        <f t="shared" si="11"/>
        <v>0</v>
      </c>
      <c r="M66" s="47">
        <f t="shared" si="11"/>
        <v>0</v>
      </c>
      <c r="N66" s="47">
        <f t="shared" si="11"/>
        <v>0</v>
      </c>
      <c r="O66" s="47">
        <f t="shared" si="11"/>
        <v>0</v>
      </c>
      <c r="P66" s="47">
        <f t="shared" si="11"/>
        <v>0</v>
      </c>
    </row>
    <row r="67" spans="3:16" x14ac:dyDescent="0.3">
      <c r="C67" s="73" t="s">
        <v>216</v>
      </c>
      <c r="D67" s="39" t="s">
        <v>117</v>
      </c>
      <c r="E67" s="61"/>
      <c r="F67" s="61"/>
      <c r="G67" s="47">
        <f t="shared" ref="G67:P67" si="12">G$65*G12</f>
        <v>167466.9867947179</v>
      </c>
      <c r="H67" s="47">
        <f t="shared" si="12"/>
        <v>209584.74797597283</v>
      </c>
      <c r="I67" s="47">
        <f t="shared" si="12"/>
        <v>189189.18918918917</v>
      </c>
      <c r="J67" s="47">
        <f t="shared" si="12"/>
        <v>0</v>
      </c>
      <c r="K67" s="47">
        <f t="shared" si="12"/>
        <v>0</v>
      </c>
      <c r="L67" s="47">
        <f t="shared" si="12"/>
        <v>0</v>
      </c>
      <c r="M67" s="47">
        <f t="shared" si="12"/>
        <v>0</v>
      </c>
      <c r="N67" s="47">
        <f t="shared" si="12"/>
        <v>0</v>
      </c>
      <c r="O67" s="47">
        <f t="shared" si="12"/>
        <v>0</v>
      </c>
      <c r="P67" s="47">
        <f t="shared" si="12"/>
        <v>0</v>
      </c>
    </row>
    <row r="68" spans="3:16" x14ac:dyDescent="0.3">
      <c r="C68" s="73" t="s">
        <v>217</v>
      </c>
      <c r="D68" s="39" t="s">
        <v>117</v>
      </c>
      <c r="E68" s="61"/>
      <c r="F68" s="61"/>
      <c r="G68" s="47">
        <f t="shared" ref="G68:P68" si="13">G$65*G13</f>
        <v>256602.64105642258</v>
      </c>
      <c r="H68" s="47">
        <f t="shared" si="13"/>
        <v>217968.13789501175</v>
      </c>
      <c r="I68" s="47">
        <f t="shared" si="13"/>
        <v>341073.46783403121</v>
      </c>
      <c r="J68" s="47">
        <f t="shared" si="13"/>
        <v>255135.92410144137</v>
      </c>
      <c r="K68" s="47">
        <f t="shared" si="13"/>
        <v>247137.91398912502</v>
      </c>
      <c r="L68" s="47">
        <f t="shared" si="13"/>
        <v>247137.91398912502</v>
      </c>
      <c r="M68" s="47">
        <f t="shared" si="13"/>
        <v>0</v>
      </c>
      <c r="N68" s="47">
        <f t="shared" si="13"/>
        <v>0</v>
      </c>
      <c r="O68" s="47">
        <f t="shared" si="13"/>
        <v>0</v>
      </c>
      <c r="P68" s="47">
        <f t="shared" si="13"/>
        <v>0</v>
      </c>
    </row>
    <row r="69" spans="3:16" x14ac:dyDescent="0.3">
      <c r="C69" s="73" t="s">
        <v>218</v>
      </c>
      <c r="D69" s="39" t="s">
        <v>117</v>
      </c>
      <c r="E69" s="61"/>
      <c r="F69" s="61"/>
      <c r="G69" s="47">
        <f t="shared" ref="G69:P69" si="14">G$65*G14</f>
        <v>272809.1236494598</v>
      </c>
      <c r="H69" s="47">
        <f t="shared" si="14"/>
        <v>293418.64716636197</v>
      </c>
      <c r="I69" s="47">
        <f t="shared" si="14"/>
        <v>365055.19604111154</v>
      </c>
      <c r="J69" s="47">
        <f t="shared" si="14"/>
        <v>368837.803320562</v>
      </c>
      <c r="K69" s="47">
        <f t="shared" si="14"/>
        <v>343720.54704234633</v>
      </c>
      <c r="L69" s="47">
        <f t="shared" si="14"/>
        <v>284066.56780359201</v>
      </c>
      <c r="M69" s="47">
        <f t="shared" si="14"/>
        <v>0</v>
      </c>
      <c r="N69" s="47">
        <f t="shared" si="14"/>
        <v>0</v>
      </c>
      <c r="O69" s="47">
        <f t="shared" si="14"/>
        <v>0</v>
      </c>
      <c r="P69" s="47">
        <f t="shared" si="14"/>
        <v>0</v>
      </c>
    </row>
    <row r="70" spans="3:16" x14ac:dyDescent="0.3">
      <c r="C70" s="61"/>
      <c r="D70" s="61"/>
      <c r="E70" s="61"/>
      <c r="F70" s="61"/>
      <c r="G70" s="91"/>
      <c r="H70" s="91"/>
      <c r="I70" s="91"/>
      <c r="J70" s="91"/>
      <c r="K70" s="91"/>
      <c r="L70" s="91"/>
      <c r="M70" s="61"/>
      <c r="N70" s="61"/>
      <c r="O70" s="61"/>
      <c r="P70" s="61"/>
    </row>
    <row r="71" spans="3:16" x14ac:dyDescent="0.3">
      <c r="C71" s="73" t="s">
        <v>247</v>
      </c>
      <c r="D71" s="39" t="s">
        <v>77</v>
      </c>
      <c r="E71" s="39" t="s">
        <v>248</v>
      </c>
      <c r="G71" s="15">
        <v>0.35</v>
      </c>
      <c r="H71" s="15">
        <v>0.35</v>
      </c>
      <c r="I71" s="15">
        <v>0.35</v>
      </c>
      <c r="J71" s="15">
        <v>0.35</v>
      </c>
      <c r="K71" s="15">
        <v>0.35</v>
      </c>
      <c r="L71" s="15">
        <v>0.35</v>
      </c>
      <c r="M71" s="15">
        <v>0.35</v>
      </c>
      <c r="N71" s="15">
        <v>0.35</v>
      </c>
      <c r="O71" s="15">
        <v>0.35</v>
      </c>
      <c r="P71" s="15">
        <v>0.35</v>
      </c>
    </row>
    <row r="72" spans="3:16" x14ac:dyDescent="0.3">
      <c r="C72" s="73" t="s">
        <v>249</v>
      </c>
      <c r="D72" s="39" t="s">
        <v>77</v>
      </c>
      <c r="E72" s="39" t="s">
        <v>250</v>
      </c>
      <c r="G72" s="55">
        <f>1-G71</f>
        <v>0.65</v>
      </c>
      <c r="H72" s="55">
        <f t="shared" ref="H72:P72" si="15">1-H71</f>
        <v>0.65</v>
      </c>
      <c r="I72" s="55">
        <f t="shared" si="15"/>
        <v>0.65</v>
      </c>
      <c r="J72" s="55">
        <f t="shared" si="15"/>
        <v>0.65</v>
      </c>
      <c r="K72" s="55">
        <f t="shared" si="15"/>
        <v>0.65</v>
      </c>
      <c r="L72" s="55">
        <f t="shared" si="15"/>
        <v>0.65</v>
      </c>
      <c r="M72" s="55">
        <f t="shared" si="15"/>
        <v>0.65</v>
      </c>
      <c r="N72" s="55">
        <f t="shared" si="15"/>
        <v>0.65</v>
      </c>
      <c r="O72" s="55">
        <f t="shared" si="15"/>
        <v>0.65</v>
      </c>
      <c r="P72" s="55">
        <f t="shared" si="15"/>
        <v>0.65</v>
      </c>
    </row>
    <row r="73" spans="3:16" x14ac:dyDescent="0.3">
      <c r="C73" s="73"/>
      <c r="D73" s="39"/>
      <c r="E73" s="39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x14ac:dyDescent="0.3">
      <c r="C74" s="72" t="s">
        <v>251</v>
      </c>
      <c r="D74" s="39"/>
      <c r="E74" s="39"/>
      <c r="G74" s="11" t="s">
        <v>252</v>
      </c>
      <c r="H74" s="11" t="s">
        <v>252</v>
      </c>
      <c r="I74" s="11" t="s">
        <v>252</v>
      </c>
      <c r="J74" s="11" t="s">
        <v>252</v>
      </c>
      <c r="K74" s="11" t="s">
        <v>252</v>
      </c>
      <c r="L74" s="11" t="s">
        <v>252</v>
      </c>
      <c r="M74" s="11" t="s">
        <v>252</v>
      </c>
      <c r="N74" s="11" t="s">
        <v>252</v>
      </c>
      <c r="O74" s="11" t="s">
        <v>252</v>
      </c>
      <c r="P74" s="11" t="s">
        <v>252</v>
      </c>
    </row>
    <row r="75" spans="3:16" x14ac:dyDescent="0.3">
      <c r="C75" s="54"/>
      <c r="D75" s="39"/>
      <c r="E75" s="39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x14ac:dyDescent="0.3">
      <c r="C76" s="72" t="s">
        <v>253</v>
      </c>
    </row>
    <row r="77" spans="3:16" x14ac:dyDescent="0.3">
      <c r="C77" s="73" t="s">
        <v>254</v>
      </c>
      <c r="D77" s="39" t="s">
        <v>57</v>
      </c>
      <c r="E77" s="39" t="s">
        <v>255</v>
      </c>
      <c r="G77" s="64" t="s">
        <v>256</v>
      </c>
      <c r="H77" s="64" t="s">
        <v>256</v>
      </c>
      <c r="I77" s="64" t="s">
        <v>256</v>
      </c>
      <c r="J77" s="64" t="s">
        <v>256</v>
      </c>
      <c r="K77" s="64" t="s">
        <v>256</v>
      </c>
      <c r="L77" s="64" t="s">
        <v>256</v>
      </c>
      <c r="M77" s="64" t="s">
        <v>256</v>
      </c>
      <c r="N77" s="64" t="s">
        <v>256</v>
      </c>
      <c r="O77" s="64" t="s">
        <v>256</v>
      </c>
      <c r="P77" s="64" t="s">
        <v>256</v>
      </c>
    </row>
    <row r="78" spans="3:16" x14ac:dyDescent="0.3">
      <c r="C78" s="75"/>
      <c r="D78" s="39"/>
      <c r="G78" s="76"/>
      <c r="H78" s="76"/>
      <c r="I78" s="76"/>
      <c r="J78" s="76"/>
      <c r="K78" s="76"/>
      <c r="L78" s="76"/>
      <c r="M78" s="76"/>
      <c r="N78" s="76"/>
      <c r="O78" s="76"/>
      <c r="P78" s="76"/>
    </row>
    <row r="79" spans="3:16" x14ac:dyDescent="0.3">
      <c r="C79" s="73" t="s">
        <v>257</v>
      </c>
      <c r="D79" s="39" t="s">
        <v>117</v>
      </c>
      <c r="E79" s="39" t="s">
        <v>258</v>
      </c>
      <c r="G79" s="77">
        <f>IF(G74="Volle eigendom",SUMPRODUCT(G17:G20,G66:G69),SUMPRODUCT(G17:G20,G66:G69)*G72)*(1-Algemeen!$D$132)</f>
        <v>1573109.2436974791</v>
      </c>
      <c r="H79" s="77">
        <f>IF(H74="Volle eigendom",SUMPRODUCT(H17:H20,H66:H69),SUMPRODUCT(H17:H20,H66:H69)*H72)*(1-Algemeen!$D$132)</f>
        <v>1498530.9480282061</v>
      </c>
      <c r="I79" s="77">
        <f>IF(I74="Volle eigendom",SUMPRODUCT(I17:I20,I66:I69),SUMPRODUCT(I17:I20,I66:I69)*I72)*(1-Algemeen!$D$132)</f>
        <v>1655805.1008755236</v>
      </c>
      <c r="J79" s="77">
        <f>IF(J74="Volle eigendom",SUMPRODUCT(J17:J20,J66:J69),SUMPRODUCT(J17:J20,J66:J69)*J72)*(1-Algemeen!$D$132)</f>
        <v>1806195.9496442259</v>
      </c>
      <c r="K79" s="77">
        <f>IF(K74="Volle eigendom",SUMPRODUCT(K17:K20,K66:K69),SUMPRODUCT(K17:K20,K66:K69)*K72)*(1-Algemeen!$D$132)</f>
        <v>1920289.998352282</v>
      </c>
      <c r="L79" s="77">
        <f>IF(L74="Volle eigendom",SUMPRODUCT(L17:L20,L66:L69),SUMPRODUCT(L17:L20,L66:L69)*L72)*(1-Algemeen!$D$132)</f>
        <v>1774421.8157851375</v>
      </c>
      <c r="M79" s="77">
        <f>IF(M74="Volle eigendom",SUMPRODUCT(M17:M20,M66:M69),SUMPRODUCT(M17:M20,M66:M69)*M72)*(1-Algemeen!$D$132)</f>
        <v>0</v>
      </c>
      <c r="N79" s="77">
        <f>IF(N74="Volle eigendom",SUMPRODUCT(N17:N20,N66:N69),SUMPRODUCT(N17:N20,N66:N69)*N72)*(1-Algemeen!$D$132)</f>
        <v>0</v>
      </c>
      <c r="O79" s="77">
        <f>IF(O74="Volle eigendom",SUMPRODUCT(O17:O20,O66:O69),SUMPRODUCT(O17:O20,O66:O69)*O72)*(1-Algemeen!$D$132)</f>
        <v>0</v>
      </c>
      <c r="P79" s="77">
        <f>IF(P74="Volle eigendom",SUMPRODUCT(P17:P20,P66:P69),SUMPRODUCT(P17:P20,P66:P69)*P72)*(1-Algemeen!$D$132)</f>
        <v>0</v>
      </c>
    </row>
    <row r="80" spans="3:16" x14ac:dyDescent="0.3">
      <c r="C80" s="73"/>
      <c r="D80" s="39"/>
      <c r="E80" s="39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3:16" x14ac:dyDescent="0.3">
      <c r="C81" s="78" t="s">
        <v>259</v>
      </c>
      <c r="G81" s="87"/>
    </row>
    <row r="82" spans="3:16" x14ac:dyDescent="0.3">
      <c r="C82" s="92" t="s">
        <v>260</v>
      </c>
      <c r="G82" s="11" t="s">
        <v>261</v>
      </c>
      <c r="H82" s="11" t="s">
        <v>261</v>
      </c>
      <c r="I82" s="11" t="s">
        <v>261</v>
      </c>
      <c r="J82" s="11" t="s">
        <v>261</v>
      </c>
      <c r="K82" s="11" t="s">
        <v>262</v>
      </c>
      <c r="L82" s="11" t="s">
        <v>262</v>
      </c>
      <c r="M82" s="11" t="s">
        <v>262</v>
      </c>
      <c r="N82" s="11" t="s">
        <v>262</v>
      </c>
      <c r="O82" s="11" t="s">
        <v>262</v>
      </c>
      <c r="P82" s="11" t="s">
        <v>262</v>
      </c>
    </row>
    <row r="83" spans="3:16" x14ac:dyDescent="0.3">
      <c r="C83" s="78"/>
    </row>
    <row r="84" spans="3:16" x14ac:dyDescent="0.3">
      <c r="C84" s="54" t="s">
        <v>263</v>
      </c>
      <c r="G84" s="55">
        <f>IF(Algemeen!$D$25="Vlaanderen",Algemeen!$D$81,IF(Algemeen!$D$25="Brussel/Wallonië",Algemeen!$D$82,0))</f>
        <v>0.12</v>
      </c>
      <c r="H84" s="55">
        <f>IF(Algemeen!$D$26="Vlaanderen",Algemeen!$D$81,IF(Algemeen!$D$26="Brussel/Wallonië",Algemeen!$D$82,0))</f>
        <v>0.12</v>
      </c>
      <c r="I84" s="55">
        <f>IF(Algemeen!$D$27="Vlaanderen",Algemeen!$D$81,IF(Algemeen!$D$27="Brussel/Wallonië",Algemeen!$D$82,0))</f>
        <v>0.12</v>
      </c>
      <c r="J84" s="55">
        <f>IF(Algemeen!$D$28="Vlaanderen",Algemeen!$D$81,IF(Algemeen!$D$28="Brussel/Wallonië",Algemeen!$D$82,0))</f>
        <v>0.12</v>
      </c>
      <c r="K84" s="55">
        <f>IF(Algemeen!$D$29="Vlaanderen",Algemeen!$D$81,IF(Algemeen!$D$29="Brussel/Wallonië",Algemeen!$D$82,0))</f>
        <v>0.12</v>
      </c>
      <c r="L84" s="55">
        <f>IF(Algemeen!$D$30="Vlaanderen",Algemeen!$D$81,IF(Algemeen!$D$30="Brussel/Wallonië",Algemeen!$D$82,0))</f>
        <v>0</v>
      </c>
      <c r="M84" s="55">
        <f>IF(Algemeen!$D$31="Vlaanderen",Algemeen!$D$81,IF(Algemeen!$D$31="Brussel/Wallonië",Algemeen!$D$82,0))</f>
        <v>0</v>
      </c>
      <c r="N84" s="55">
        <f>IF(Algemeen!$D$32="Vlaanderen",Algemeen!$D$81,IF(Algemeen!$D$32="Brussel/Wallonië",Algemeen!$D$82,0))</f>
        <v>0</v>
      </c>
      <c r="O84" s="55">
        <f>IF(Algemeen!$D$33="Vlaanderen",Algemeen!$D$81,IF(Algemeen!$D$33="Brussel/Wallonië",Algemeen!$D$82,0))</f>
        <v>0</v>
      </c>
      <c r="P84" s="55">
        <f>IF(Algemeen!$D$34="Vlaanderen",Algemeen!$D$81,IF(Algemeen!$D$34="Brussel/Wallonië",Algemeen!$D$82,0))</f>
        <v>0</v>
      </c>
    </row>
    <row r="85" spans="3:16" x14ac:dyDescent="0.3">
      <c r="C85" s="78"/>
    </row>
    <row r="86" spans="3:16" x14ac:dyDescent="0.3">
      <c r="C86" s="54" t="s">
        <v>264</v>
      </c>
      <c r="D86" s="39" t="s">
        <v>117</v>
      </c>
      <c r="G86" s="77">
        <f>IF(G82="NEEN",G79*G84,IF(G74="Erfpacht",0,G79*G84*G71))</f>
        <v>188773.10924369749</v>
      </c>
      <c r="H86" s="77">
        <f>IF(H82="NEEN",H79*H84,IF(H74="Erfpacht",0,H79*H84*H71))</f>
        <v>179823.71376338473</v>
      </c>
      <c r="I86" s="77">
        <f t="shared" ref="I86:P86" si="16">IF(I82="NEEN",I79*I84,IF(I74="Erfpacht",0,I79*I84*I71))</f>
        <v>198696.61210506284</v>
      </c>
      <c r="J86" s="77">
        <f t="shared" si="16"/>
        <v>216743.51395730709</v>
      </c>
      <c r="K86" s="77">
        <f t="shared" si="16"/>
        <v>0</v>
      </c>
      <c r="L86" s="77">
        <f t="shared" si="16"/>
        <v>0</v>
      </c>
      <c r="M86" s="77">
        <f t="shared" si="16"/>
        <v>0</v>
      </c>
      <c r="N86" s="77">
        <f t="shared" si="16"/>
        <v>0</v>
      </c>
      <c r="O86" s="77">
        <f t="shared" si="16"/>
        <v>0</v>
      </c>
      <c r="P86" s="77">
        <f t="shared" si="16"/>
        <v>0</v>
      </c>
    </row>
    <row r="87" spans="3:16" x14ac:dyDescent="0.3">
      <c r="C87" s="79" t="s">
        <v>265</v>
      </c>
      <c r="D87" s="39" t="s">
        <v>117</v>
      </c>
      <c r="G87" s="93">
        <f>G79*6%</f>
        <v>94386.554621848743</v>
      </c>
      <c r="H87" s="93">
        <f>H79*6%</f>
        <v>89911.856881692365</v>
      </c>
      <c r="I87" s="93">
        <f>I79*6%</f>
        <v>99348.306052531421</v>
      </c>
      <c r="J87" s="93">
        <f>J79*6%</f>
        <v>108371.75697865355</v>
      </c>
      <c r="K87" s="77">
        <f>IF(AND(K77="Asset Deal",K82="JA"),IF(K74="Erfpacht",K79*Algemeen!$D$84,K79*Algemeen!$D$84*K72),0)</f>
        <v>403260.89965397923</v>
      </c>
      <c r="L87" s="77">
        <f>IF(AND(L77="Asset Deal",L82="JA"),IF(L74="Erfpacht",L79*Algemeen!$D$84,L79*Algemeen!$D$84*L72),0)</f>
        <v>372628.58131487883</v>
      </c>
      <c r="M87" s="77">
        <f>IF(AND(M77="Asset Deal",M82="JA"),IF(M74="Erfpacht",M79*Algemeen!$D$84,M79*Algemeen!$D$84*M72),0)</f>
        <v>0</v>
      </c>
      <c r="N87" s="77">
        <f>IF(AND(N77="Asset Deal",N82="JA"),IF(N74="Erfpacht",N79*Algemeen!$D$84,N79*Algemeen!$D$84*N72),0)</f>
        <v>0</v>
      </c>
      <c r="O87" s="77">
        <f>IF(AND(O77="Asset Deal",O82="JA"),IF(O74="Erfpacht",O79*Algemeen!$D$84,O79*Algemeen!$D$84*O72),0)</f>
        <v>0</v>
      </c>
      <c r="P87" s="77">
        <f>IF(AND(P77="Asset Deal",P82="JA"),IF(P74="Erfpacht",P79*Algemeen!$D$84,P79*Algemeen!$D$84*P72),0)</f>
        <v>0</v>
      </c>
    </row>
    <row r="88" spans="3:16" x14ac:dyDescent="0.3">
      <c r="C88" s="54" t="s">
        <v>102</v>
      </c>
      <c r="D88" s="39" t="s">
        <v>117</v>
      </c>
      <c r="G88" s="77">
        <f>G79*Algemeen!$D$86</f>
        <v>15731.092436974792</v>
      </c>
      <c r="H88" s="77">
        <f>H79*Algemeen!$D$86</f>
        <v>14985.309480282061</v>
      </c>
      <c r="I88" s="77">
        <f>I79*Algemeen!$D$86</f>
        <v>16558.051008755236</v>
      </c>
      <c r="J88" s="77">
        <f>J79*Algemeen!$D$86</f>
        <v>18061.959496442258</v>
      </c>
      <c r="K88" s="77">
        <f>K79*Algemeen!$D$86</f>
        <v>19202.899983522821</v>
      </c>
      <c r="L88" s="77">
        <f>L79*Algemeen!$D$86</f>
        <v>17744.218157851374</v>
      </c>
      <c r="M88" s="77">
        <f>M79*Algemeen!$D$86</f>
        <v>0</v>
      </c>
      <c r="N88" s="77">
        <f>N79*Algemeen!$D$86</f>
        <v>0</v>
      </c>
      <c r="O88" s="77">
        <f>O79*Algemeen!$D$86</f>
        <v>0</v>
      </c>
      <c r="P88" s="77">
        <f>P79*Algemeen!$D$86</f>
        <v>0</v>
      </c>
    </row>
    <row r="89" spans="3:16" x14ac:dyDescent="0.3">
      <c r="C89" s="54" t="s">
        <v>104</v>
      </c>
      <c r="D89" s="39" t="s">
        <v>117</v>
      </c>
      <c r="G89" s="77">
        <f>G79*Algemeen!$D$87</f>
        <v>23596.638655462186</v>
      </c>
      <c r="H89" s="77">
        <f>H79*Algemeen!$D$87</f>
        <v>22477.964220423091</v>
      </c>
      <c r="I89" s="77">
        <f>I79*Algemeen!$D$87</f>
        <v>24837.076513132855</v>
      </c>
      <c r="J89" s="77">
        <f>J79*Algemeen!$D$87</f>
        <v>27092.939244663386</v>
      </c>
      <c r="K89" s="77">
        <f>K79*Algemeen!$D$87</f>
        <v>28804.349975284229</v>
      </c>
      <c r="L89" s="77">
        <f>L79*Algemeen!$D$87</f>
        <v>26616.327236777062</v>
      </c>
      <c r="M89" s="77">
        <f>M79*Algemeen!$D$87</f>
        <v>0</v>
      </c>
      <c r="N89" s="77">
        <f>N79*Algemeen!$D$87</f>
        <v>0</v>
      </c>
      <c r="O89" s="77">
        <f>O79*Algemeen!$D$87</f>
        <v>0</v>
      </c>
      <c r="P89" s="77">
        <f>P79*Algemeen!$D$87</f>
        <v>0</v>
      </c>
    </row>
    <row r="90" spans="3:16" x14ac:dyDescent="0.3">
      <c r="C90" s="54" t="s">
        <v>266</v>
      </c>
      <c r="D90" s="39" t="s">
        <v>117</v>
      </c>
      <c r="G90" s="77">
        <f>IF(G77="Asset Deal",G79+G86+G87+G88+G89,0)</f>
        <v>1895596.6386554623</v>
      </c>
      <c r="H90" s="77">
        <f t="shared" ref="H90:P90" si="17">IF(H77="Asset Deal",H79+H86+H87+H88+H89,0)</f>
        <v>1805729.7923739883</v>
      </c>
      <c r="I90" s="77">
        <f t="shared" si="17"/>
        <v>1995245.146555006</v>
      </c>
      <c r="J90" s="77">
        <f t="shared" si="17"/>
        <v>2176466.1193212918</v>
      </c>
      <c r="K90" s="77">
        <f t="shared" si="17"/>
        <v>2371558.1479650685</v>
      </c>
      <c r="L90" s="77">
        <f t="shared" si="17"/>
        <v>2191410.9424946452</v>
      </c>
      <c r="M90" s="77">
        <f t="shared" si="17"/>
        <v>0</v>
      </c>
      <c r="N90" s="77">
        <f t="shared" si="17"/>
        <v>0</v>
      </c>
      <c r="O90" s="77">
        <f t="shared" si="17"/>
        <v>0</v>
      </c>
      <c r="P90" s="77">
        <f t="shared" si="17"/>
        <v>0</v>
      </c>
    </row>
    <row r="91" spans="3:16" x14ac:dyDescent="0.3">
      <c r="C91" s="54"/>
      <c r="D91" s="39"/>
      <c r="E91" s="39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x14ac:dyDescent="0.3">
      <c r="C92" s="54"/>
      <c r="D92" s="39"/>
      <c r="E92" s="39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x14ac:dyDescent="0.3">
      <c r="C93" s="72" t="s">
        <v>252</v>
      </c>
      <c r="D93" s="39"/>
      <c r="E93" s="39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x14ac:dyDescent="0.3">
      <c r="C94" s="73" t="s">
        <v>267</v>
      </c>
      <c r="D94" s="39" t="s">
        <v>67</v>
      </c>
      <c r="E94" s="39" t="s">
        <v>268</v>
      </c>
      <c r="G94" s="80">
        <v>99</v>
      </c>
      <c r="H94" s="80">
        <v>99</v>
      </c>
      <c r="I94" s="80">
        <v>99</v>
      </c>
      <c r="J94" s="80">
        <v>99</v>
      </c>
      <c r="K94" s="80">
        <v>99</v>
      </c>
      <c r="L94" s="80">
        <v>99</v>
      </c>
      <c r="M94" s="80">
        <v>99</v>
      </c>
      <c r="N94" s="80">
        <v>99</v>
      </c>
      <c r="O94" s="80">
        <v>99</v>
      </c>
      <c r="P94" s="80">
        <v>99</v>
      </c>
    </row>
    <row r="95" spans="3:16" x14ac:dyDescent="0.3">
      <c r="C95" s="73" t="s">
        <v>269</v>
      </c>
      <c r="D95" s="39" t="s">
        <v>117</v>
      </c>
      <c r="E95" s="39"/>
      <c r="G95" s="81" t="str">
        <f>IF(G96&gt;0,"Symbolische vergoeding",IF(G98&gt;0,"Eenmalige vergoeding",IF(G103&gt;0,"Redelijke vergoeding","n/a")))</f>
        <v>Redelijke vergoeding</v>
      </c>
      <c r="H95" s="81" t="str">
        <f t="shared" ref="H95:P95" si="18">IF(H96&gt;0,"Symbolische vergoeding",IF(H98&gt;0,"Eenmalige vergoeding",IF(H103&gt;0,"Redelijke vergoeding","n/a")))</f>
        <v>Redelijke vergoeding</v>
      </c>
      <c r="I95" s="81" t="str">
        <f t="shared" si="18"/>
        <v>Redelijke vergoeding</v>
      </c>
      <c r="J95" s="81" t="str">
        <f t="shared" si="18"/>
        <v>Redelijke vergoeding</v>
      </c>
      <c r="K95" s="81" t="str">
        <f t="shared" si="18"/>
        <v>Redelijke vergoeding</v>
      </c>
      <c r="L95" s="81" t="str">
        <f t="shared" si="18"/>
        <v>Redelijke vergoeding</v>
      </c>
      <c r="M95" s="81" t="str">
        <f t="shared" si="18"/>
        <v>n/a</v>
      </c>
      <c r="N95" s="81" t="str">
        <f t="shared" si="18"/>
        <v>n/a</v>
      </c>
      <c r="O95" s="81" t="str">
        <f t="shared" si="18"/>
        <v>n/a</v>
      </c>
      <c r="P95" s="81" t="str">
        <f t="shared" si="18"/>
        <v>n/a</v>
      </c>
    </row>
    <row r="96" spans="3:16" x14ac:dyDescent="0.3">
      <c r="C96" s="82" t="s">
        <v>84</v>
      </c>
      <c r="D96" s="83" t="s">
        <v>117</v>
      </c>
      <c r="E96" s="39" t="s">
        <v>270</v>
      </c>
      <c r="G96" s="47">
        <v>0</v>
      </c>
      <c r="H96" s="47">
        <v>0</v>
      </c>
      <c r="I96" s="47"/>
      <c r="J96" s="47"/>
      <c r="K96" s="47"/>
      <c r="L96" s="47"/>
      <c r="M96" s="47"/>
      <c r="N96" s="47"/>
      <c r="O96" s="47"/>
      <c r="P96" s="47"/>
    </row>
    <row r="97" spans="3:16" x14ac:dyDescent="0.3">
      <c r="C97" s="84" t="s">
        <v>264</v>
      </c>
      <c r="D97" s="83"/>
      <c r="E97" s="39"/>
      <c r="G97" s="77">
        <f>G96*G94*Algemeen!$D$83</f>
        <v>0</v>
      </c>
      <c r="H97" s="77">
        <f>H96*H94*Algemeen!$D$83</f>
        <v>0</v>
      </c>
      <c r="I97" s="77">
        <f>I96*I94*Algemeen!$D$83</f>
        <v>0</v>
      </c>
      <c r="J97" s="77">
        <f>J96*J94*Algemeen!$D$83</f>
        <v>0</v>
      </c>
      <c r="K97" s="77">
        <f>K96*K94*Algemeen!$D$83</f>
        <v>0</v>
      </c>
      <c r="L97" s="77">
        <f>L96*L94*Algemeen!$D$83</f>
        <v>0</v>
      </c>
      <c r="M97" s="77">
        <f>M96*M94*Algemeen!$D$83</f>
        <v>0</v>
      </c>
      <c r="N97" s="77">
        <f>N96*N94*Algemeen!$D$83</f>
        <v>0</v>
      </c>
      <c r="O97" s="77">
        <f>O96*O94*Algemeen!$D$83</f>
        <v>0</v>
      </c>
      <c r="P97" s="77">
        <f>P96*P94*Algemeen!$D$83</f>
        <v>0</v>
      </c>
    </row>
    <row r="98" spans="3:16" x14ac:dyDescent="0.3">
      <c r="C98" s="82" t="s">
        <v>271</v>
      </c>
      <c r="D98" s="83" t="s">
        <v>117</v>
      </c>
      <c r="E98" s="39" t="s">
        <v>272</v>
      </c>
      <c r="G98" s="47"/>
      <c r="H98" s="47">
        <v>0</v>
      </c>
      <c r="I98" s="47"/>
      <c r="J98" s="47"/>
      <c r="K98" s="47"/>
      <c r="L98" s="47"/>
      <c r="M98" s="47"/>
      <c r="N98" s="47"/>
      <c r="O98" s="47"/>
      <c r="P98" s="47"/>
    </row>
    <row r="99" spans="3:16" x14ac:dyDescent="0.3">
      <c r="C99" s="84" t="s">
        <v>264</v>
      </c>
      <c r="D99" s="83"/>
      <c r="E99" s="39"/>
      <c r="G99" s="77">
        <f>G98*Algemeen!$D$83</f>
        <v>0</v>
      </c>
      <c r="H99" s="77">
        <v>0</v>
      </c>
      <c r="I99" s="77">
        <v>0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</row>
    <row r="100" spans="3:16" x14ac:dyDescent="0.3">
      <c r="C100" s="82" t="s">
        <v>86</v>
      </c>
      <c r="D100" s="83" t="s">
        <v>117</v>
      </c>
      <c r="E100" s="39" t="s">
        <v>273</v>
      </c>
      <c r="G100" s="85" t="str">
        <f>IF(G74="Erfpacht","Ja","Neen")</f>
        <v>Ja</v>
      </c>
      <c r="H100" s="85" t="str">
        <f t="shared" ref="H100:P100" si="19">IF(H74="Erfpacht","Ja","Neen")</f>
        <v>Ja</v>
      </c>
      <c r="I100" s="85" t="str">
        <f t="shared" si="19"/>
        <v>Ja</v>
      </c>
      <c r="J100" s="85" t="str">
        <f t="shared" si="19"/>
        <v>Ja</v>
      </c>
      <c r="K100" s="85" t="str">
        <f t="shared" si="19"/>
        <v>Ja</v>
      </c>
      <c r="L100" s="85" t="str">
        <f t="shared" si="19"/>
        <v>Ja</v>
      </c>
      <c r="M100" s="85" t="str">
        <f t="shared" si="19"/>
        <v>Ja</v>
      </c>
      <c r="N100" s="85" t="str">
        <f t="shared" si="19"/>
        <v>Ja</v>
      </c>
      <c r="O100" s="85" t="str">
        <f t="shared" si="19"/>
        <v>Ja</v>
      </c>
      <c r="P100" s="85" t="str">
        <f t="shared" si="19"/>
        <v>Ja</v>
      </c>
    </row>
    <row r="101" spans="3:16" x14ac:dyDescent="0.3">
      <c r="C101" s="84" t="s">
        <v>274</v>
      </c>
      <c r="D101" s="39"/>
      <c r="G101" s="77">
        <f>IF(G100="Ja",SUMPRODUCT(G66:G69,G17:G20)*G71,0)*(1-Algemeen!$D$132)</f>
        <v>847058.82352941181</v>
      </c>
      <c r="H101" s="77">
        <f>IF(H100="Ja",SUMPRODUCT(H66:H69,H17:H20)*H71,0)*(1-Algemeen!$D$132)</f>
        <v>806901.27970749547</v>
      </c>
      <c r="I101" s="77">
        <f>IF(I100="Ja",SUMPRODUCT(I66:I69,I17:I20)*I71,0)*(1-Algemeen!$D$132)</f>
        <v>891587.36200989725</v>
      </c>
      <c r="J101" s="77">
        <f>IF(J100="Ja",SUMPRODUCT(J66:J69,J17:J20)*J71,0)*(1-Algemeen!$D$132)</f>
        <v>972567.0498084292</v>
      </c>
      <c r="K101" s="77">
        <f>IF(K100="Ja",SUMPRODUCT(K66:K69,K17:K20)*K71,0)*(1-Algemeen!$D$132)</f>
        <v>1034002.3068050748</v>
      </c>
      <c r="L101" s="77">
        <f>IF(L100="Ja",SUMPRODUCT(L66:L69,L17:L20)*L71,0)*(1-Algemeen!$D$132)</f>
        <v>955457.90080738161</v>
      </c>
      <c r="M101" s="77">
        <f>IF(M100="Ja",SUMPRODUCT(M66:M69,M17:M20)*M71,0)*(1-Algemeen!$D$132)</f>
        <v>0</v>
      </c>
      <c r="N101" s="77">
        <f>IF(N100="Ja",SUMPRODUCT(N66:N69,N17:N20)*N71,0)*(1-Algemeen!$D$132)</f>
        <v>0</v>
      </c>
      <c r="O101" s="77">
        <f>IF(O100="Ja",SUMPRODUCT(O66:O69,O17:O20)*O71,0)*(1-Algemeen!$D$132)</f>
        <v>0</v>
      </c>
      <c r="P101" s="77">
        <f>IF(P100="Ja",SUMPRODUCT(P66:P69,P17:P20)*P71,0)*(1-Algemeen!$D$132)</f>
        <v>0</v>
      </c>
    </row>
    <row r="102" spans="3:16" x14ac:dyDescent="0.3">
      <c r="C102" s="84" t="s">
        <v>264</v>
      </c>
      <c r="D102" s="39"/>
      <c r="G102" s="77">
        <f>G101*Algemeen!$D$83</f>
        <v>42352.941176470595</v>
      </c>
      <c r="H102" s="77">
        <f>H101*Algemeen!$D$83</f>
        <v>40345.063985374778</v>
      </c>
      <c r="I102" s="77">
        <f>I101*Algemeen!$D$83</f>
        <v>44579.368100494867</v>
      </c>
      <c r="J102" s="77">
        <f>J101*Algemeen!$D$83</f>
        <v>48628.352490421465</v>
      </c>
      <c r="K102" s="77">
        <f>K101*Algemeen!$D$83</f>
        <v>51700.115340253746</v>
      </c>
      <c r="L102" s="77">
        <f>L101*Algemeen!$D$83</f>
        <v>47772.895040369083</v>
      </c>
      <c r="M102" s="77">
        <f>M101*Algemeen!$D$83</f>
        <v>0</v>
      </c>
      <c r="N102" s="77">
        <f>N101*Algemeen!$D$83</f>
        <v>0</v>
      </c>
      <c r="O102" s="77">
        <f>O101*Algemeen!$D$83</f>
        <v>0</v>
      </c>
      <c r="P102" s="77">
        <f>P101*Algemeen!$D$83</f>
        <v>0</v>
      </c>
    </row>
    <row r="103" spans="3:16" x14ac:dyDescent="0.3">
      <c r="C103" s="84" t="s">
        <v>275</v>
      </c>
      <c r="D103" s="39"/>
      <c r="G103" s="77">
        <f>(G101+G102)/G94</f>
        <v>8983.9572192513369</v>
      </c>
      <c r="H103" s="77">
        <f t="shared" ref="H103:P103" si="20">H101/H94</f>
        <v>8150.5179768433882</v>
      </c>
      <c r="I103" s="77">
        <f t="shared" si="20"/>
        <v>9005.9329495949223</v>
      </c>
      <c r="J103" s="77">
        <f t="shared" si="20"/>
        <v>9823.909594024537</v>
      </c>
      <c r="K103" s="77">
        <f t="shared" si="20"/>
        <v>10444.467745505806</v>
      </c>
      <c r="L103" s="77">
        <f t="shared" si="20"/>
        <v>9651.0899071452695</v>
      </c>
      <c r="M103" s="77">
        <f t="shared" si="20"/>
        <v>0</v>
      </c>
      <c r="N103" s="77">
        <f t="shared" si="20"/>
        <v>0</v>
      </c>
      <c r="O103" s="77">
        <f t="shared" si="20"/>
        <v>0</v>
      </c>
      <c r="P103" s="77">
        <f t="shared" si="20"/>
        <v>0</v>
      </c>
    </row>
    <row r="104" spans="3:16" x14ac:dyDescent="0.3">
      <c r="D104" s="39"/>
    </row>
    <row r="105" spans="3:16" ht="15" thickBot="1" x14ac:dyDescent="0.35">
      <c r="C105" s="33" t="s">
        <v>276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3:16" x14ac:dyDescent="0.3"/>
    <row r="107" spans="3:16" x14ac:dyDescent="0.3">
      <c r="C107" s="62" t="s">
        <v>277</v>
      </c>
      <c r="G107" s="96">
        <v>113.4453781512605</v>
      </c>
      <c r="H107" s="96">
        <v>117.36745886654479</v>
      </c>
      <c r="I107" s="96">
        <v>111.9147316330415</v>
      </c>
      <c r="J107" s="96">
        <v>116.47509578544062</v>
      </c>
      <c r="K107" s="96">
        <f>[1]FEASO_ONTWIKKELING!$I$71</f>
        <v>119.30795847750863</v>
      </c>
      <c r="L107" s="96">
        <f>[1]FEASO_ONTWIKKELING!$I$71</f>
        <v>119.30795847750863</v>
      </c>
    </row>
    <row r="108" spans="3:16" x14ac:dyDescent="0.3">
      <c r="C108" s="50" t="str">
        <f>C17</f>
        <v>Studio</v>
      </c>
      <c r="D108" s="39" t="s">
        <v>278</v>
      </c>
      <c r="G108" s="20">
        <f>G$107/12*G11</f>
        <v>0</v>
      </c>
      <c r="H108" s="20">
        <f t="shared" ref="H108:P108" si="21">H$107/12*H11</f>
        <v>0</v>
      </c>
      <c r="I108" s="20">
        <f t="shared" si="21"/>
        <v>0</v>
      </c>
      <c r="J108" s="20">
        <f t="shared" si="21"/>
        <v>0</v>
      </c>
      <c r="K108" s="20">
        <f t="shared" si="21"/>
        <v>0</v>
      </c>
      <c r="L108" s="20">
        <f t="shared" si="21"/>
        <v>0</v>
      </c>
      <c r="M108" s="20">
        <f t="shared" si="21"/>
        <v>0</v>
      </c>
      <c r="N108" s="20">
        <f t="shared" si="21"/>
        <v>0</v>
      </c>
      <c r="O108" s="20">
        <f t="shared" si="21"/>
        <v>0</v>
      </c>
      <c r="P108" s="20">
        <f t="shared" si="21"/>
        <v>0</v>
      </c>
    </row>
    <row r="109" spans="3:16" x14ac:dyDescent="0.3">
      <c r="C109" s="50" t="str">
        <f>C18</f>
        <v>1 - slpk appartement</v>
      </c>
      <c r="D109" s="39" t="s">
        <v>278</v>
      </c>
      <c r="G109" s="20">
        <f t="shared" ref="G109:P109" si="22">G$107/12*G12</f>
        <v>586.13445378151266</v>
      </c>
      <c r="H109" s="20">
        <f t="shared" si="22"/>
        <v>733.54661791590502</v>
      </c>
      <c r="I109" s="20">
        <f t="shared" si="22"/>
        <v>662.16216216216219</v>
      </c>
      <c r="J109" s="20">
        <f t="shared" si="22"/>
        <v>0</v>
      </c>
      <c r="K109" s="20">
        <f t="shared" si="22"/>
        <v>0</v>
      </c>
      <c r="L109" s="20">
        <f t="shared" si="22"/>
        <v>0</v>
      </c>
      <c r="M109" s="20">
        <f t="shared" si="22"/>
        <v>0</v>
      </c>
      <c r="N109" s="20">
        <f t="shared" si="22"/>
        <v>0</v>
      </c>
      <c r="O109" s="20">
        <f t="shared" si="22"/>
        <v>0</v>
      </c>
      <c r="P109" s="20">
        <f t="shared" si="22"/>
        <v>0</v>
      </c>
    </row>
    <row r="110" spans="3:16" x14ac:dyDescent="0.3">
      <c r="C110" s="50" t="str">
        <f>C19</f>
        <v>2 - slpk appartement</v>
      </c>
      <c r="D110" s="39" t="s">
        <v>278</v>
      </c>
      <c r="G110" s="20">
        <f t="shared" ref="G110:P110" si="23">G$107/12*G13</f>
        <v>898.10924369747897</v>
      </c>
      <c r="H110" s="20">
        <f t="shared" si="23"/>
        <v>762.88848263254113</v>
      </c>
      <c r="I110" s="20">
        <f t="shared" si="23"/>
        <v>1193.7571374191093</v>
      </c>
      <c r="J110" s="20">
        <f t="shared" si="23"/>
        <v>892.97573435504478</v>
      </c>
      <c r="K110" s="20">
        <f t="shared" si="23"/>
        <v>864.98269896193767</v>
      </c>
      <c r="L110" s="20">
        <f t="shared" si="23"/>
        <v>864.98269896193767</v>
      </c>
      <c r="M110" s="20">
        <f t="shared" si="23"/>
        <v>0</v>
      </c>
      <c r="N110" s="20">
        <f t="shared" si="23"/>
        <v>0</v>
      </c>
      <c r="O110" s="20">
        <f t="shared" si="23"/>
        <v>0</v>
      </c>
      <c r="P110" s="20">
        <f t="shared" si="23"/>
        <v>0</v>
      </c>
    </row>
    <row r="111" spans="3:16" x14ac:dyDescent="0.3">
      <c r="C111" s="50" t="str">
        <f>C20</f>
        <v>3 - slpk appartement</v>
      </c>
      <c r="D111" s="39" t="s">
        <v>278</v>
      </c>
      <c r="G111" s="20">
        <f t="shared" ref="G111:P111" si="24">G$107/12*G14</f>
        <v>954.83193277310932</v>
      </c>
      <c r="H111" s="20">
        <f t="shared" si="24"/>
        <v>1026.965265082267</v>
      </c>
      <c r="I111" s="20">
        <f t="shared" si="24"/>
        <v>1277.6931861438904</v>
      </c>
      <c r="J111" s="20">
        <f t="shared" si="24"/>
        <v>1290.9323116219668</v>
      </c>
      <c r="K111" s="20">
        <f t="shared" si="24"/>
        <v>1203.021914648212</v>
      </c>
      <c r="L111" s="20">
        <f t="shared" si="24"/>
        <v>994.23298731257205</v>
      </c>
      <c r="M111" s="20">
        <f t="shared" si="24"/>
        <v>0</v>
      </c>
      <c r="N111" s="20">
        <f t="shared" si="24"/>
        <v>0</v>
      </c>
      <c r="O111" s="20">
        <f t="shared" si="24"/>
        <v>0</v>
      </c>
      <c r="P111" s="20">
        <f t="shared" si="24"/>
        <v>0</v>
      </c>
    </row>
    <row r="112" spans="3:16" x14ac:dyDescent="0.3"/>
    <row r="113" spans="3:16" x14ac:dyDescent="0.3">
      <c r="C113" s="35" t="s">
        <v>279</v>
      </c>
      <c r="D113" s="39" t="s">
        <v>117</v>
      </c>
      <c r="G113" s="77">
        <f t="shared" ref="G113:P113" si="25">SUMPRODUCT(G108:G111,G17:G20)*12</f>
        <v>101647.0588235294</v>
      </c>
      <c r="H113" s="77">
        <f t="shared" si="25"/>
        <v>96828.153564899461</v>
      </c>
      <c r="I113" s="77">
        <f t="shared" si="25"/>
        <v>106990.48344118768</v>
      </c>
      <c r="J113" s="77">
        <f t="shared" si="25"/>
        <v>116708.0459770115</v>
      </c>
      <c r="K113" s="77">
        <f t="shared" si="25"/>
        <v>124080.27681660898</v>
      </c>
      <c r="L113" s="77">
        <f t="shared" si="25"/>
        <v>114654.94809688581</v>
      </c>
      <c r="M113" s="77">
        <f t="shared" si="25"/>
        <v>0</v>
      </c>
      <c r="N113" s="77">
        <f t="shared" si="25"/>
        <v>0</v>
      </c>
      <c r="O113" s="77">
        <f t="shared" si="25"/>
        <v>0</v>
      </c>
      <c r="P113" s="77">
        <f t="shared" si="25"/>
        <v>0</v>
      </c>
    </row>
    <row r="114" spans="3:16" x14ac:dyDescent="0.3"/>
    <row r="115" spans="3:16" x14ac:dyDescent="0.3">
      <c r="C115" s="62" t="s">
        <v>280</v>
      </c>
    </row>
    <row r="116" spans="3:16" x14ac:dyDescent="0.3">
      <c r="C116" s="50" t="s">
        <v>220</v>
      </c>
    </row>
    <row r="117" spans="3:16" x14ac:dyDescent="0.3">
      <c r="C117" s="82" t="s">
        <v>281</v>
      </c>
      <c r="G117" s="77">
        <f t="shared" ref="G117:P117" si="26">IF(G26="Studio",G$66,IF(G26="1 - slpk",G$67,IF(G26="2 - slpk",G$68,IF(G26="3 - slpk",G$69,0))))</f>
        <v>272809.1236494598</v>
      </c>
      <c r="H117" s="77">
        <f>IF(H26="Studio",H$66,IF(H26="1 - slpk",H$67,IF(H26="2 - slpk",H$68,IF(H26="3 - slpk",H$69,0))))</f>
        <v>209584.74797597283</v>
      </c>
      <c r="I117" s="77">
        <f t="shared" si="26"/>
        <v>189189.18918918917</v>
      </c>
      <c r="J117" s="77">
        <f t="shared" si="26"/>
        <v>255135.92410144137</v>
      </c>
      <c r="K117" s="77">
        <f t="shared" si="26"/>
        <v>247137.91398912502</v>
      </c>
      <c r="L117" s="77">
        <f t="shared" si="26"/>
        <v>247137.91398912502</v>
      </c>
      <c r="M117" s="77">
        <f t="shared" si="26"/>
        <v>0</v>
      </c>
      <c r="N117" s="77">
        <f t="shared" si="26"/>
        <v>0</v>
      </c>
      <c r="O117" s="77">
        <f t="shared" si="26"/>
        <v>0</v>
      </c>
      <c r="P117" s="77">
        <f t="shared" si="26"/>
        <v>0</v>
      </c>
    </row>
    <row r="118" spans="3:16" x14ac:dyDescent="0.3">
      <c r="C118" s="82" t="s">
        <v>277</v>
      </c>
      <c r="G118" s="86">
        <f t="shared" ref="G118:P118" si="27">IF(G26="Studio",G108,IF(G26="1 - slpk",G109,IF(G26="2 - slpk",G110,IF(G26="3 - slpk",G111,0))))</f>
        <v>954.83193277310932</v>
      </c>
      <c r="H118" s="86">
        <f t="shared" si="27"/>
        <v>733.54661791590502</v>
      </c>
      <c r="I118" s="86">
        <f t="shared" si="27"/>
        <v>662.16216216216219</v>
      </c>
      <c r="J118" s="86">
        <f t="shared" si="27"/>
        <v>892.97573435504478</v>
      </c>
      <c r="K118" s="86">
        <f t="shared" si="27"/>
        <v>864.98269896193767</v>
      </c>
      <c r="L118" s="86">
        <f t="shared" si="27"/>
        <v>864.98269896193767</v>
      </c>
      <c r="M118" s="86">
        <f t="shared" si="27"/>
        <v>0</v>
      </c>
      <c r="N118" s="86">
        <f t="shared" si="27"/>
        <v>0</v>
      </c>
      <c r="O118" s="86">
        <f t="shared" si="27"/>
        <v>0</v>
      </c>
      <c r="P118" s="86">
        <f t="shared" si="27"/>
        <v>0</v>
      </c>
    </row>
    <row r="119" spans="3:16" x14ac:dyDescent="0.3">
      <c r="C119" s="82" t="s">
        <v>282</v>
      </c>
      <c r="G119" s="55">
        <f>IF(G25="Type 1",Algemeen!$D$100,0)</f>
        <v>0</v>
      </c>
      <c r="H119" s="55">
        <f>IF(H25="Type 1",Algemeen!$D$100,0)</f>
        <v>0</v>
      </c>
      <c r="I119" s="55">
        <f>IF(I25="Type 1",Algemeen!$D$100,0)</f>
        <v>0</v>
      </c>
      <c r="J119" s="55">
        <f>IF(J25="Type 1",Algemeen!$D$100,0)</f>
        <v>0</v>
      </c>
      <c r="K119" s="55">
        <f>IF(K25="Type 1",Algemeen!$D$100,0)</f>
        <v>0</v>
      </c>
      <c r="L119" s="55">
        <f>IF(L25="Type 1",Algemeen!$D$100,0)</f>
        <v>0</v>
      </c>
      <c r="M119" s="55">
        <f>IF(M25="Type 1",Algemeen!$D$100,0)</f>
        <v>0</v>
      </c>
      <c r="N119" s="55">
        <f>IF(N25="Type 1",Algemeen!$D$100,0)</f>
        <v>0</v>
      </c>
      <c r="O119" s="55">
        <f>IF(O25="Type 1",Algemeen!$D$100,0)</f>
        <v>0</v>
      </c>
      <c r="P119" s="55">
        <f>IF(P25="Type 1",Algemeen!$D$100,0)</f>
        <v>0</v>
      </c>
    </row>
    <row r="120" spans="3:16" x14ac:dyDescent="0.3">
      <c r="C120" s="82" t="s">
        <v>283</v>
      </c>
      <c r="G120" s="55">
        <f>IF(G25="Type 2",Algemeen!$D$102,0)</f>
        <v>0</v>
      </c>
      <c r="H120" s="55">
        <f>IF(H25="Type 2",Algemeen!$D$102,0)</f>
        <v>0</v>
      </c>
      <c r="I120" s="55">
        <f>IF(I25="Type 2",Algemeen!$D$102,0)</f>
        <v>0</v>
      </c>
      <c r="J120" s="55">
        <f>IF(J25="Type 2",Algemeen!$D$102,0)</f>
        <v>0</v>
      </c>
      <c r="K120" s="55">
        <f>IF(K25="Type 2",Algemeen!$D$102,0)</f>
        <v>0</v>
      </c>
      <c r="L120" s="55">
        <f>IF(L25="Type 2",Algemeen!$D$102,0)</f>
        <v>0</v>
      </c>
      <c r="M120" s="55">
        <f>IF(M25="Type 2",Algemeen!$D$102,0)</f>
        <v>0</v>
      </c>
      <c r="N120" s="55">
        <f>IF(N25="Type 2",Algemeen!$D$102,0)</f>
        <v>0</v>
      </c>
      <c r="O120" s="55">
        <f>IF(O25="Type 2",Algemeen!$D$102,0)</f>
        <v>0</v>
      </c>
      <c r="P120" s="55">
        <f>IF(P25="Type 2",Algemeen!$D$102,0)</f>
        <v>0</v>
      </c>
    </row>
    <row r="121" spans="3:16" x14ac:dyDescent="0.3">
      <c r="C121" s="50" t="s">
        <v>226</v>
      </c>
    </row>
    <row r="122" spans="3:16" x14ac:dyDescent="0.3">
      <c r="C122" s="82" t="s">
        <v>281</v>
      </c>
      <c r="G122" s="77">
        <f t="shared" ref="G122:P122" si="28">IF(G29="Studio",G$66,IF(G29="1 - slpk",G$67,IF(G29="2 - slpk",G$68,IF(G29="3 - slpk",G$69,0))))</f>
        <v>256602.64105642258</v>
      </c>
      <c r="H122" s="77">
        <f t="shared" si="28"/>
        <v>209584.74797597283</v>
      </c>
      <c r="I122" s="77">
        <f t="shared" si="28"/>
        <v>189189.18918918917</v>
      </c>
      <c r="J122" s="77">
        <f t="shared" si="28"/>
        <v>255135.92410144137</v>
      </c>
      <c r="K122" s="77">
        <f t="shared" si="28"/>
        <v>247137.91398912502</v>
      </c>
      <c r="L122" s="77">
        <f t="shared" si="28"/>
        <v>247137.91398912502</v>
      </c>
      <c r="M122" s="77">
        <f t="shared" si="28"/>
        <v>0</v>
      </c>
      <c r="N122" s="77">
        <f t="shared" si="28"/>
        <v>0</v>
      </c>
      <c r="O122" s="77">
        <f t="shared" si="28"/>
        <v>0</v>
      </c>
      <c r="P122" s="77">
        <f t="shared" si="28"/>
        <v>0</v>
      </c>
    </row>
    <row r="123" spans="3:16" x14ac:dyDescent="0.3">
      <c r="C123" s="82" t="s">
        <v>277</v>
      </c>
      <c r="G123" s="86">
        <f t="shared" ref="G123:P123" si="29">IF(G29="Studio",G108,IF(G29="1 - slpk",G109,IF(G29="2 - slpk",G110,IF(G29="3 - slpk",G111,0))))</f>
        <v>898.10924369747897</v>
      </c>
      <c r="H123" s="86">
        <f t="shared" si="29"/>
        <v>733.54661791590502</v>
      </c>
      <c r="I123" s="86">
        <f t="shared" si="29"/>
        <v>662.16216216216219</v>
      </c>
      <c r="J123" s="86">
        <f t="shared" si="29"/>
        <v>892.97573435504478</v>
      </c>
      <c r="K123" s="86">
        <f t="shared" si="29"/>
        <v>864.98269896193767</v>
      </c>
      <c r="L123" s="86">
        <f t="shared" si="29"/>
        <v>864.98269896193767</v>
      </c>
      <c r="M123" s="86">
        <f t="shared" si="29"/>
        <v>0</v>
      </c>
      <c r="N123" s="86">
        <f t="shared" si="29"/>
        <v>0</v>
      </c>
      <c r="O123" s="86">
        <f t="shared" si="29"/>
        <v>0</v>
      </c>
      <c r="P123" s="86">
        <f t="shared" si="29"/>
        <v>0</v>
      </c>
    </row>
    <row r="124" spans="3:16" x14ac:dyDescent="0.3">
      <c r="C124" s="82" t="s">
        <v>282</v>
      </c>
      <c r="G124" s="55">
        <f>IF(G28="Type 1",Algemeen!$D$100,0)</f>
        <v>0</v>
      </c>
      <c r="H124" s="55">
        <f>IF(H28="Type 1",Algemeen!$D$100,0)</f>
        <v>0</v>
      </c>
      <c r="I124" s="55">
        <f>IF(I28="Type 1",Algemeen!$D$100,0)</f>
        <v>0</v>
      </c>
      <c r="J124" s="55">
        <f>IF(J28="Type 1",Algemeen!$D$100,0)</f>
        <v>0</v>
      </c>
      <c r="K124" s="55">
        <f>IF(K28="Type 1",Algemeen!$D$100,0)</f>
        <v>0</v>
      </c>
      <c r="L124" s="55">
        <f>IF(L28="Type 1",Algemeen!$D$100,0)</f>
        <v>0</v>
      </c>
      <c r="M124" s="55">
        <f>IF(M28="Type 1",Algemeen!$D$100,0)</f>
        <v>0</v>
      </c>
      <c r="N124" s="55">
        <f>IF(N28="Type 1",Algemeen!$D$100,0)</f>
        <v>0</v>
      </c>
      <c r="O124" s="55">
        <f>IF(O28="Type 1",Algemeen!$D$100,0)</f>
        <v>0</v>
      </c>
      <c r="P124" s="55">
        <f>IF(P28="Type 1",Algemeen!$D$100,0)</f>
        <v>0</v>
      </c>
    </row>
    <row r="125" spans="3:16" x14ac:dyDescent="0.3">
      <c r="C125" s="82" t="s">
        <v>283</v>
      </c>
      <c r="G125" s="55">
        <f>IF(G28="Type 2",Algemeen!$D$102,0)</f>
        <v>0</v>
      </c>
      <c r="H125" s="55">
        <f>IF(H28="Type 2",Algemeen!$D$102,0)</f>
        <v>0</v>
      </c>
      <c r="I125" s="55">
        <f>IF(I28="Type 2",Algemeen!$D$102,0)</f>
        <v>0</v>
      </c>
      <c r="J125" s="55">
        <f>IF(J28="Type 2",Algemeen!$D$102,0)</f>
        <v>0</v>
      </c>
      <c r="K125" s="55">
        <f>IF(K28="Type 2",Algemeen!$D$102,0)</f>
        <v>0</v>
      </c>
      <c r="L125" s="55">
        <f>IF(L28="Type 2",Algemeen!$D$102,0)</f>
        <v>0</v>
      </c>
      <c r="M125" s="55">
        <f>IF(M28="Type 2",Algemeen!$D$102,0)</f>
        <v>0</v>
      </c>
      <c r="N125" s="55">
        <f>IF(N28="Type 2",Algemeen!$D$102,0)</f>
        <v>0</v>
      </c>
      <c r="O125" s="55">
        <f>IF(O28="Type 2",Algemeen!$D$102,0)</f>
        <v>0</v>
      </c>
      <c r="P125" s="55">
        <f>IF(P28="Type 2",Algemeen!$D$102,0)</f>
        <v>0</v>
      </c>
    </row>
    <row r="126" spans="3:16" x14ac:dyDescent="0.3">
      <c r="C126" s="50" t="s">
        <v>227</v>
      </c>
    </row>
    <row r="127" spans="3:16" x14ac:dyDescent="0.3">
      <c r="C127" s="82" t="s">
        <v>281</v>
      </c>
      <c r="G127" s="77">
        <f t="shared" ref="G127:P127" si="30">IF(G32="Studio",G$66,IF(G32="1 - slpk",G$67,IF(G32="2 - slpk",G$68,IF(G32="3 - slpk",G$69,0))))</f>
        <v>256602.64105642258</v>
      </c>
      <c r="H127" s="77">
        <f t="shared" si="30"/>
        <v>209584.74797597283</v>
      </c>
      <c r="I127" s="77">
        <f t="shared" si="30"/>
        <v>189189.18918918917</v>
      </c>
      <c r="J127" s="77">
        <f t="shared" si="30"/>
        <v>255135.92410144137</v>
      </c>
      <c r="K127" s="77">
        <f t="shared" si="30"/>
        <v>247137.91398912502</v>
      </c>
      <c r="L127" s="77">
        <f t="shared" si="30"/>
        <v>247137.91398912502</v>
      </c>
      <c r="M127" s="77">
        <f t="shared" si="30"/>
        <v>0</v>
      </c>
      <c r="N127" s="77">
        <f t="shared" si="30"/>
        <v>0</v>
      </c>
      <c r="O127" s="77">
        <f t="shared" si="30"/>
        <v>0</v>
      </c>
      <c r="P127" s="77">
        <f t="shared" si="30"/>
        <v>0</v>
      </c>
    </row>
    <row r="128" spans="3:16" x14ac:dyDescent="0.3">
      <c r="C128" s="82" t="s">
        <v>277</v>
      </c>
      <c r="G128" s="86">
        <f t="shared" ref="G128:P128" si="31">IF(G32="Studio",G108,IF(G32="1 - slpk",G109,IF(G32="2 - slpk",G110,IF(G32="3 - slpk",G111,0))))</f>
        <v>898.10924369747897</v>
      </c>
      <c r="H128" s="86">
        <f t="shared" si="31"/>
        <v>733.54661791590502</v>
      </c>
      <c r="I128" s="86">
        <f t="shared" si="31"/>
        <v>662.16216216216219</v>
      </c>
      <c r="J128" s="86">
        <f t="shared" si="31"/>
        <v>892.97573435504478</v>
      </c>
      <c r="K128" s="86">
        <f t="shared" si="31"/>
        <v>864.98269896193767</v>
      </c>
      <c r="L128" s="86">
        <f t="shared" si="31"/>
        <v>864.98269896193767</v>
      </c>
      <c r="M128" s="86">
        <f t="shared" si="31"/>
        <v>0</v>
      </c>
      <c r="N128" s="86">
        <f t="shared" si="31"/>
        <v>0</v>
      </c>
      <c r="O128" s="86">
        <f t="shared" si="31"/>
        <v>0</v>
      </c>
      <c r="P128" s="86">
        <f t="shared" si="31"/>
        <v>0</v>
      </c>
    </row>
    <row r="129" spans="3:16" x14ac:dyDescent="0.3">
      <c r="C129" s="82" t="s">
        <v>282</v>
      </c>
      <c r="G129" s="55">
        <f>IF(G31="Type 1",Algemeen!$D$100,0)</f>
        <v>0</v>
      </c>
      <c r="H129" s="55">
        <f>IF(H31="Type 1",Algemeen!$D$100,0)</f>
        <v>0</v>
      </c>
      <c r="I129" s="55">
        <f>IF(I31="Type 1",Algemeen!$D$100,0)</f>
        <v>0</v>
      </c>
      <c r="J129" s="55">
        <f>IF(J31="Type 1",Algemeen!$D$100,0)</f>
        <v>0</v>
      </c>
      <c r="K129" s="55">
        <f>IF(K31="Type 1",Algemeen!$D$100,0)</f>
        <v>0</v>
      </c>
      <c r="L129" s="55">
        <f>IF(L31="Type 1",Algemeen!$D$100,0)</f>
        <v>0</v>
      </c>
      <c r="M129" s="55">
        <f>IF(M31="Type 1",Algemeen!$D$100,0)</f>
        <v>0</v>
      </c>
      <c r="N129" s="55">
        <f>IF(N31="Type 1",Algemeen!$D$100,0)</f>
        <v>0</v>
      </c>
      <c r="O129" s="55">
        <f>IF(O31="Type 1",Algemeen!$D$100,0)</f>
        <v>0</v>
      </c>
      <c r="P129" s="55">
        <f>IF(P31="Type 1",Algemeen!$D$100,0)</f>
        <v>0</v>
      </c>
    </row>
    <row r="130" spans="3:16" x14ac:dyDescent="0.3">
      <c r="C130" s="82" t="s">
        <v>283</v>
      </c>
      <c r="G130" s="55">
        <f>IF(G31="Type 2",Algemeen!$D$102,0)</f>
        <v>0</v>
      </c>
      <c r="H130" s="55">
        <f>IF(H31="Type 2",Algemeen!$D$102,0)</f>
        <v>0</v>
      </c>
      <c r="I130" s="55">
        <f>IF(I31="Type 2",Algemeen!$D$102,0)</f>
        <v>0</v>
      </c>
      <c r="J130" s="55">
        <f>IF(J31="Type 2",Algemeen!$D$102,0)</f>
        <v>0</v>
      </c>
      <c r="K130" s="55">
        <f>IF(K31="Type 2",Algemeen!$D$102,0)</f>
        <v>0</v>
      </c>
      <c r="L130" s="55">
        <f>IF(L31="Type 2",Algemeen!$D$102,0)</f>
        <v>0</v>
      </c>
      <c r="M130" s="55">
        <f>IF(M31="Type 2",Algemeen!$D$102,0)</f>
        <v>0</v>
      </c>
      <c r="N130" s="55">
        <f>IF(N31="Type 2",Algemeen!$D$102,0)</f>
        <v>0</v>
      </c>
      <c r="O130" s="55">
        <f>IF(O31="Type 2",Algemeen!$D$102,0)</f>
        <v>0</v>
      </c>
      <c r="P130" s="55">
        <f>IF(P31="Type 2",Algemeen!$D$102,0)</f>
        <v>0</v>
      </c>
    </row>
    <row r="131" spans="3:16" x14ac:dyDescent="0.3">
      <c r="C131" s="50" t="s">
        <v>228</v>
      </c>
    </row>
    <row r="132" spans="3:16" x14ac:dyDescent="0.3">
      <c r="C132" s="82" t="s">
        <v>281</v>
      </c>
      <c r="G132" s="77">
        <f t="shared" ref="G132:P132" si="32">IF(G35="Studio",G$66,IF(G35="1 - slpk",G$67,IF(G35="2 - slpk",G$68,IF(G35="3 - slpk",G$69,0))))</f>
        <v>256602.64105642258</v>
      </c>
      <c r="H132" s="77">
        <f t="shared" si="32"/>
        <v>217968.13789501175</v>
      </c>
      <c r="I132" s="77">
        <f t="shared" si="32"/>
        <v>189189.18918918917</v>
      </c>
      <c r="J132" s="77">
        <f t="shared" si="32"/>
        <v>255135.92410144137</v>
      </c>
      <c r="K132" s="77">
        <f t="shared" si="32"/>
        <v>247137.91398912502</v>
      </c>
      <c r="L132" s="77">
        <f t="shared" si="32"/>
        <v>284066.56780359201</v>
      </c>
      <c r="M132" s="77">
        <f t="shared" si="32"/>
        <v>0</v>
      </c>
      <c r="N132" s="77">
        <f t="shared" si="32"/>
        <v>0</v>
      </c>
      <c r="O132" s="77">
        <f t="shared" si="32"/>
        <v>0</v>
      </c>
      <c r="P132" s="77">
        <f t="shared" si="32"/>
        <v>0</v>
      </c>
    </row>
    <row r="133" spans="3:16" x14ac:dyDescent="0.3">
      <c r="C133" s="82" t="s">
        <v>277</v>
      </c>
      <c r="G133" s="86">
        <f t="shared" ref="G133:P133" si="33">IF(G35="Studio",G108,IF(G35="1 - slpk",G109,IF(G35="2 - slpk",G110,IF(G35="3 - slpk",G111,0))))</f>
        <v>898.10924369747897</v>
      </c>
      <c r="H133" s="86">
        <f t="shared" si="33"/>
        <v>762.88848263254113</v>
      </c>
      <c r="I133" s="86">
        <f t="shared" si="33"/>
        <v>662.16216216216219</v>
      </c>
      <c r="J133" s="86">
        <f t="shared" si="33"/>
        <v>892.97573435504478</v>
      </c>
      <c r="K133" s="86">
        <f t="shared" si="33"/>
        <v>864.98269896193767</v>
      </c>
      <c r="L133" s="86">
        <f t="shared" si="33"/>
        <v>994.23298731257205</v>
      </c>
      <c r="M133" s="86">
        <f t="shared" si="33"/>
        <v>0</v>
      </c>
      <c r="N133" s="86">
        <f t="shared" si="33"/>
        <v>0</v>
      </c>
      <c r="O133" s="86">
        <f t="shared" si="33"/>
        <v>0</v>
      </c>
      <c r="P133" s="86">
        <f t="shared" si="33"/>
        <v>0</v>
      </c>
    </row>
    <row r="134" spans="3:16" x14ac:dyDescent="0.3">
      <c r="C134" s="82" t="s">
        <v>282</v>
      </c>
      <c r="G134" s="55">
        <f>IF(G34="Type 1",Algemeen!$D$100,0)</f>
        <v>0</v>
      </c>
      <c r="H134" s="55">
        <f>IF(H34="Type 1",Algemeen!$D$100,0)</f>
        <v>0</v>
      </c>
      <c r="I134" s="55">
        <f>IF(I34="Type 1",Algemeen!$D$100,0)</f>
        <v>0</v>
      </c>
      <c r="J134" s="55">
        <f>IF(J34="Type 1",Algemeen!$D$100,0)</f>
        <v>0</v>
      </c>
      <c r="K134" s="55">
        <f>IF(K34="Type 1",Algemeen!$D$100,0)</f>
        <v>0</v>
      </c>
      <c r="L134" s="55">
        <f>IF(L34="Type 1",Algemeen!$D$100,0)</f>
        <v>0</v>
      </c>
      <c r="M134" s="55">
        <f>IF(M34="Type 1",Algemeen!$D$100,0)</f>
        <v>0</v>
      </c>
      <c r="N134" s="55">
        <f>IF(N34="Type 1",Algemeen!$D$100,0)</f>
        <v>0</v>
      </c>
      <c r="O134" s="55">
        <f>IF(O34="Type 1",Algemeen!$D$100,0)</f>
        <v>0</v>
      </c>
      <c r="P134" s="55">
        <f>IF(P34="Type 1",Algemeen!$D$100,0)</f>
        <v>0</v>
      </c>
    </row>
    <row r="135" spans="3:16" x14ac:dyDescent="0.3">
      <c r="C135" s="82" t="s">
        <v>283</v>
      </c>
      <c r="G135" s="55">
        <f>IF(G34="Type 2",Algemeen!$D$102,0)</f>
        <v>0</v>
      </c>
      <c r="H135" s="55">
        <f>IF(H34="Type 2",Algemeen!$D$102,0)</f>
        <v>0</v>
      </c>
      <c r="I135" s="55">
        <f>IF(I34="Type 2",Algemeen!$D$102,0)</f>
        <v>0</v>
      </c>
      <c r="J135" s="55">
        <f>IF(J34="Type 2",Algemeen!$D$102,0)</f>
        <v>0</v>
      </c>
      <c r="K135" s="55">
        <f>IF(K34="Type 2",Algemeen!$D$102,0)</f>
        <v>0</v>
      </c>
      <c r="L135" s="55">
        <f>IF(L34="Type 2",Algemeen!$D$102,0)</f>
        <v>0</v>
      </c>
      <c r="M135" s="55">
        <f>IF(M34="Type 2",Algemeen!$D$102,0)</f>
        <v>0</v>
      </c>
      <c r="N135" s="55">
        <f>IF(N34="Type 2",Algemeen!$D$102,0)</f>
        <v>0</v>
      </c>
      <c r="O135" s="55">
        <f>IF(O34="Type 2",Algemeen!$D$102,0)</f>
        <v>0</v>
      </c>
      <c r="P135" s="55">
        <f>IF(P34="Type 2",Algemeen!$D$102,0)</f>
        <v>0</v>
      </c>
    </row>
    <row r="136" spans="3:16" x14ac:dyDescent="0.3">
      <c r="C136" s="50" t="s">
        <v>229</v>
      </c>
    </row>
    <row r="137" spans="3:16" x14ac:dyDescent="0.3">
      <c r="C137" s="82" t="s">
        <v>281</v>
      </c>
      <c r="G137" s="77">
        <f t="shared" ref="G137:P137" si="34">IF(G38="Studio",G$66,IF(G38="1 - slpk",G$67,IF(G38="2 - slpk",G$68,IF(G38="3 - slpk",G$69,0))))</f>
        <v>167466.9867947179</v>
      </c>
      <c r="H137" s="77">
        <f t="shared" si="34"/>
        <v>217968.13789501175</v>
      </c>
      <c r="I137" s="77">
        <f t="shared" si="34"/>
        <v>189189.18918918917</v>
      </c>
      <c r="J137" s="77">
        <f t="shared" si="34"/>
        <v>255135.92410144137</v>
      </c>
      <c r="K137" s="77">
        <f t="shared" si="34"/>
        <v>247137.91398912502</v>
      </c>
      <c r="L137" s="77">
        <f t="shared" si="34"/>
        <v>284066.56780359201</v>
      </c>
      <c r="M137" s="77">
        <f t="shared" si="34"/>
        <v>0</v>
      </c>
      <c r="N137" s="77">
        <f t="shared" si="34"/>
        <v>0</v>
      </c>
      <c r="O137" s="77">
        <f t="shared" si="34"/>
        <v>0</v>
      </c>
      <c r="P137" s="77">
        <f t="shared" si="34"/>
        <v>0</v>
      </c>
    </row>
    <row r="138" spans="3:16" x14ac:dyDescent="0.3">
      <c r="C138" s="82" t="s">
        <v>277</v>
      </c>
      <c r="G138" s="86">
        <f t="shared" ref="G138:P138" si="35">IF(G38="Studio",G108,IF(G38="1 - slpk",G109,IF(G38="2 - slpk",G110,IF(G38="3 - slpk",G111,0))))</f>
        <v>586.13445378151266</v>
      </c>
      <c r="H138" s="86">
        <f t="shared" si="35"/>
        <v>762.88848263254113</v>
      </c>
      <c r="I138" s="86">
        <f t="shared" si="35"/>
        <v>662.16216216216219</v>
      </c>
      <c r="J138" s="86">
        <f t="shared" si="35"/>
        <v>892.97573435504478</v>
      </c>
      <c r="K138" s="86">
        <f t="shared" si="35"/>
        <v>864.98269896193767</v>
      </c>
      <c r="L138" s="86">
        <f t="shared" si="35"/>
        <v>994.23298731257205</v>
      </c>
      <c r="M138" s="86">
        <f t="shared" si="35"/>
        <v>0</v>
      </c>
      <c r="N138" s="86">
        <f t="shared" si="35"/>
        <v>0</v>
      </c>
      <c r="O138" s="86">
        <f t="shared" si="35"/>
        <v>0</v>
      </c>
      <c r="P138" s="86">
        <f t="shared" si="35"/>
        <v>0</v>
      </c>
    </row>
    <row r="139" spans="3:16" x14ac:dyDescent="0.3">
      <c r="C139" s="82" t="s">
        <v>282</v>
      </c>
      <c r="G139" s="55">
        <f>IF(G47="Type 1",Algemeen!$D$100,0)</f>
        <v>0</v>
      </c>
      <c r="H139" s="55">
        <f>IF(H47="Type 1",Algemeen!$D$100,0)</f>
        <v>0</v>
      </c>
      <c r="I139" s="55">
        <f>IF(I47="Type 1",Algemeen!$D$100,0)</f>
        <v>0</v>
      </c>
      <c r="J139" s="55">
        <f>IF(J47="Type 1",Algemeen!$D$100,0)</f>
        <v>0</v>
      </c>
      <c r="K139" s="55">
        <f>IF(K47="Type 1",Algemeen!$D$100,0)</f>
        <v>0</v>
      </c>
      <c r="L139" s="55">
        <f>IF(L47="Type 1",Algemeen!$D$100,0)</f>
        <v>0</v>
      </c>
      <c r="M139" s="55">
        <f>IF(M47="Type 1",Algemeen!$D$100,0)</f>
        <v>0</v>
      </c>
      <c r="N139" s="55">
        <f>IF(N47="Type 1",Algemeen!$D$100,0)</f>
        <v>0</v>
      </c>
      <c r="O139" s="55">
        <f>IF(O47="Type 1",Algemeen!$D$100,0)</f>
        <v>0</v>
      </c>
      <c r="P139" s="55">
        <f>IF(P47="Type 1",Algemeen!$D$100,0)</f>
        <v>0</v>
      </c>
    </row>
    <row r="140" spans="3:16" x14ac:dyDescent="0.3">
      <c r="C140" s="82" t="s">
        <v>283</v>
      </c>
      <c r="G140" s="55">
        <f>IF(G37="Type 2",Algemeen!$D$102,0)</f>
        <v>0</v>
      </c>
      <c r="H140" s="55">
        <f>IF(H37="Type 2",Algemeen!$D$102,0)</f>
        <v>0</v>
      </c>
      <c r="I140" s="55">
        <f>IF(I37="Type 2",Algemeen!$D$102,0)</f>
        <v>0</v>
      </c>
      <c r="J140" s="55">
        <f>IF(J37="Type 2",Algemeen!$D$102,0)</f>
        <v>0</v>
      </c>
      <c r="K140" s="55">
        <f>IF(K37="Type 2",Algemeen!$D$102,0)</f>
        <v>0</v>
      </c>
      <c r="L140" s="55">
        <f>IF(L37="Type 2",Algemeen!$D$102,0)</f>
        <v>0</v>
      </c>
      <c r="M140" s="55">
        <f>IF(M37="Type 2",Algemeen!$D$102,0)</f>
        <v>0</v>
      </c>
      <c r="N140" s="55">
        <f>IF(N37="Type 2",Algemeen!$D$102,0)</f>
        <v>0</v>
      </c>
      <c r="O140" s="55">
        <f>IF(O37="Type 2",Algemeen!$D$102,0)</f>
        <v>0</v>
      </c>
      <c r="P140" s="55">
        <f>IF(P37="Type 2",Algemeen!$D$102,0)</f>
        <v>0</v>
      </c>
    </row>
    <row r="141" spans="3:16" x14ac:dyDescent="0.3">
      <c r="C141" s="50" t="s">
        <v>230</v>
      </c>
    </row>
    <row r="142" spans="3:16" x14ac:dyDescent="0.3">
      <c r="C142" s="82" t="s">
        <v>281</v>
      </c>
      <c r="G142" s="77">
        <f t="shared" ref="G142:P142" si="36">IF(G41="Studio",G$66,IF(G41="1 - slpk",G$67,IF(G41="2 - slpk",G$68,IF(G41="3 - slpk",G$69,0))))</f>
        <v>272809.1236494598</v>
      </c>
      <c r="H142" s="77">
        <f t="shared" si="36"/>
        <v>217968.13789501175</v>
      </c>
      <c r="I142" s="77">
        <f t="shared" si="36"/>
        <v>189189.18918918917</v>
      </c>
      <c r="J142" s="77">
        <f t="shared" si="36"/>
        <v>255135.92410144137</v>
      </c>
      <c r="K142" s="77">
        <f t="shared" si="36"/>
        <v>343720.54704234633</v>
      </c>
      <c r="L142" s="77">
        <f t="shared" si="36"/>
        <v>284066.56780359201</v>
      </c>
      <c r="M142" s="77">
        <f t="shared" si="36"/>
        <v>0</v>
      </c>
      <c r="N142" s="77">
        <f t="shared" si="36"/>
        <v>0</v>
      </c>
      <c r="O142" s="77">
        <f t="shared" si="36"/>
        <v>0</v>
      </c>
      <c r="P142" s="77">
        <f t="shared" si="36"/>
        <v>0</v>
      </c>
    </row>
    <row r="143" spans="3:16" x14ac:dyDescent="0.3">
      <c r="C143" s="82" t="s">
        <v>277</v>
      </c>
      <c r="G143" s="86">
        <f t="shared" ref="G143:P143" si="37">IF(G41="Studio",G108,IF(G41="1 - slpk",G109,IF(G41="2 - slpk",G110,IF(G41="3 - slpk",G111,0))))</f>
        <v>954.83193277310932</v>
      </c>
      <c r="H143" s="86">
        <f t="shared" si="37"/>
        <v>762.88848263254113</v>
      </c>
      <c r="I143" s="86">
        <f t="shared" si="37"/>
        <v>662.16216216216219</v>
      </c>
      <c r="J143" s="86">
        <f t="shared" si="37"/>
        <v>892.97573435504478</v>
      </c>
      <c r="K143" s="86">
        <f t="shared" si="37"/>
        <v>1203.021914648212</v>
      </c>
      <c r="L143" s="86">
        <f t="shared" si="37"/>
        <v>994.23298731257205</v>
      </c>
      <c r="M143" s="86">
        <f t="shared" si="37"/>
        <v>0</v>
      </c>
      <c r="N143" s="86">
        <f t="shared" si="37"/>
        <v>0</v>
      </c>
      <c r="O143" s="86">
        <f t="shared" si="37"/>
        <v>0</v>
      </c>
      <c r="P143" s="86">
        <f t="shared" si="37"/>
        <v>0</v>
      </c>
    </row>
    <row r="144" spans="3:16" x14ac:dyDescent="0.3">
      <c r="C144" s="82" t="s">
        <v>282</v>
      </c>
      <c r="G144" s="55">
        <f>IF(G40="Type 1",Algemeen!$D$100,0)</f>
        <v>0</v>
      </c>
      <c r="H144" s="55">
        <f>IF(H40="Type 1",Algemeen!$D$100,0)</f>
        <v>0</v>
      </c>
      <c r="I144" s="55">
        <f>IF(I40="Type 1",Algemeen!$D$100,0)</f>
        <v>0</v>
      </c>
      <c r="J144" s="55">
        <f>IF(J40="Type 1",Algemeen!$D$100,0)</f>
        <v>0</v>
      </c>
      <c r="K144" s="55">
        <f>IF(K40="Type 1",Algemeen!$D$100,0)</f>
        <v>0</v>
      </c>
      <c r="L144" s="55">
        <f>IF(L40="Type 1",Algemeen!$D$100,0)</f>
        <v>0</v>
      </c>
      <c r="M144" s="55">
        <f>IF(M40="Type 1",Algemeen!$D$100,0)</f>
        <v>0</v>
      </c>
      <c r="N144" s="55">
        <f>IF(N40="Type 1",Algemeen!$D$100,0)</f>
        <v>0</v>
      </c>
      <c r="O144" s="55">
        <f>IF(O40="Type 1",Algemeen!$D$100,0)</f>
        <v>0</v>
      </c>
      <c r="P144" s="55">
        <f>IF(P40="Type 1",Algemeen!$D$100,0)</f>
        <v>0</v>
      </c>
    </row>
    <row r="145" spans="3:16" x14ac:dyDescent="0.3">
      <c r="C145" s="82" t="s">
        <v>283</v>
      </c>
      <c r="G145" s="55">
        <f>IF(G40="Type 2",Algemeen!$D$102,0)</f>
        <v>0</v>
      </c>
      <c r="H145" s="55">
        <f>IF(H40="Type 2",Algemeen!$D$102,0)</f>
        <v>0</v>
      </c>
      <c r="I145" s="55">
        <f>IF(I40="Type 2",Algemeen!$D$102,0)</f>
        <v>0</v>
      </c>
      <c r="J145" s="55">
        <f>IF(J40="Type 2",Algemeen!$D$102,0)</f>
        <v>0</v>
      </c>
      <c r="K145" s="55">
        <f>IF(K40="Type 2",Algemeen!$D$102,0)</f>
        <v>0</v>
      </c>
      <c r="L145" s="55">
        <f>IF(L40="Type 2",Algemeen!$D$102,0)</f>
        <v>0</v>
      </c>
      <c r="M145" s="55">
        <f>IF(M40="Type 2",Algemeen!$D$102,0)</f>
        <v>0</v>
      </c>
      <c r="N145" s="55">
        <f>IF(N40="Type 2",Algemeen!$D$102,0)</f>
        <v>0</v>
      </c>
      <c r="O145" s="55">
        <f>IF(O40="Type 2",Algemeen!$D$102,0)</f>
        <v>0</v>
      </c>
      <c r="P145" s="55">
        <f>IF(P40="Type 2",Algemeen!$D$102,0)</f>
        <v>0</v>
      </c>
    </row>
    <row r="146" spans="3:16" x14ac:dyDescent="0.3">
      <c r="C146" s="50" t="s">
        <v>231</v>
      </c>
    </row>
    <row r="147" spans="3:16" x14ac:dyDescent="0.3">
      <c r="C147" s="82" t="s">
        <v>281</v>
      </c>
      <c r="G147" s="77">
        <f t="shared" ref="G147:P147" si="38">IF(G44="Studio",G$66,IF(G44="1 - slpk",G$67,IF(G44="2 - slpk",G$68,IF(G44="3 - slpk",G$69,0))))</f>
        <v>256602.64105642258</v>
      </c>
      <c r="H147" s="77">
        <f t="shared" si="38"/>
        <v>217968.13789501175</v>
      </c>
      <c r="I147" s="77">
        <f t="shared" si="38"/>
        <v>341073.46783403121</v>
      </c>
      <c r="J147" s="77">
        <f t="shared" si="38"/>
        <v>255135.92410144137</v>
      </c>
      <c r="K147" s="77">
        <f t="shared" si="38"/>
        <v>343720.54704234633</v>
      </c>
      <c r="L147" s="77">
        <f t="shared" si="38"/>
        <v>284066.56780359201</v>
      </c>
      <c r="M147" s="77">
        <f t="shared" si="38"/>
        <v>0</v>
      </c>
      <c r="N147" s="77">
        <f t="shared" si="38"/>
        <v>0</v>
      </c>
      <c r="O147" s="77">
        <f t="shared" si="38"/>
        <v>0</v>
      </c>
      <c r="P147" s="77">
        <f t="shared" si="38"/>
        <v>0</v>
      </c>
    </row>
    <row r="148" spans="3:16" x14ac:dyDescent="0.3">
      <c r="C148" s="82" t="s">
        <v>277</v>
      </c>
      <c r="G148" s="86">
        <f t="shared" ref="G148:P148" si="39">IF(G44="Studio",G108,IF(G44="1 - slpk",G109,IF(G44="2 - slpk",G110,IF(G44="3 - slpk",G111,0))))</f>
        <v>898.10924369747897</v>
      </c>
      <c r="H148" s="86">
        <f t="shared" si="39"/>
        <v>762.88848263254113</v>
      </c>
      <c r="I148" s="86">
        <f t="shared" si="39"/>
        <v>1193.7571374191093</v>
      </c>
      <c r="J148" s="86">
        <f t="shared" si="39"/>
        <v>892.97573435504478</v>
      </c>
      <c r="K148" s="86">
        <f t="shared" si="39"/>
        <v>1203.021914648212</v>
      </c>
      <c r="L148" s="86">
        <f t="shared" si="39"/>
        <v>994.23298731257205</v>
      </c>
      <c r="M148" s="86">
        <f t="shared" si="39"/>
        <v>0</v>
      </c>
      <c r="N148" s="86">
        <f t="shared" si="39"/>
        <v>0</v>
      </c>
      <c r="O148" s="86">
        <f t="shared" si="39"/>
        <v>0</v>
      </c>
      <c r="P148" s="86">
        <f t="shared" si="39"/>
        <v>0</v>
      </c>
    </row>
    <row r="149" spans="3:16" x14ac:dyDescent="0.3">
      <c r="C149" s="82" t="s">
        <v>282</v>
      </c>
      <c r="G149" s="55">
        <f>IF(G43="Type 1",Algemeen!$D$100,0)</f>
        <v>0</v>
      </c>
      <c r="H149" s="55">
        <f>IF(H43="Type 1",Algemeen!$D$100,0)</f>
        <v>0</v>
      </c>
      <c r="I149" s="55">
        <f>IF(I43="Type 1",Algemeen!$D$100,0)</f>
        <v>0</v>
      </c>
      <c r="J149" s="55">
        <f>IF(J43="Type 1",Algemeen!$D$100,0)</f>
        <v>0</v>
      </c>
      <c r="K149" s="55">
        <f>IF(K43="Type 1",Algemeen!$D$100,0)</f>
        <v>0</v>
      </c>
      <c r="L149" s="55">
        <f>IF(L43="Type 1",Algemeen!$D$100,0)</f>
        <v>0</v>
      </c>
      <c r="M149" s="55">
        <f>IF(M43="Type 1",Algemeen!$D$100,0)</f>
        <v>0</v>
      </c>
      <c r="N149" s="55">
        <f>IF(N43="Type 1",Algemeen!$D$100,0)</f>
        <v>0</v>
      </c>
      <c r="O149" s="55">
        <f>IF(O43="Type 1",Algemeen!$D$100,0)</f>
        <v>0</v>
      </c>
      <c r="P149" s="55">
        <f>IF(P43="Type 1",Algemeen!$D$100,0)</f>
        <v>0</v>
      </c>
    </row>
    <row r="150" spans="3:16" x14ac:dyDescent="0.3">
      <c r="C150" s="82" t="s">
        <v>283</v>
      </c>
      <c r="G150" s="55">
        <f>IF(G43="Type 2",Algemeen!$D$102,0)</f>
        <v>0</v>
      </c>
      <c r="H150" s="55">
        <f>IF(H43="Type 2",Algemeen!$D$102,0)</f>
        <v>0</v>
      </c>
      <c r="I150" s="55">
        <f>IF(I43="Type 2",Algemeen!$D$102,0)</f>
        <v>0</v>
      </c>
      <c r="J150" s="55">
        <f>IF(J43="Type 2",Algemeen!$D$102,0)</f>
        <v>0</v>
      </c>
      <c r="K150" s="55">
        <f>IF(K43="Type 2",Algemeen!$D$102,0)</f>
        <v>0</v>
      </c>
      <c r="L150" s="55">
        <f>IF(L43="Type 2",Algemeen!$D$102,0)</f>
        <v>0</v>
      </c>
      <c r="M150" s="55">
        <f>IF(M43="Type 2",Algemeen!$D$102,0)</f>
        <v>0</v>
      </c>
      <c r="N150" s="55">
        <f>IF(N43="Type 2",Algemeen!$D$102,0)</f>
        <v>0</v>
      </c>
      <c r="O150" s="55">
        <f>IF(O43="Type 2",Algemeen!$D$102,0)</f>
        <v>0</v>
      </c>
      <c r="P150" s="55">
        <f>IF(P43="Type 2",Algemeen!$D$102,0)</f>
        <v>0</v>
      </c>
    </row>
    <row r="151" spans="3:16" x14ac:dyDescent="0.3">
      <c r="C151" s="50" t="s">
        <v>232</v>
      </c>
    </row>
    <row r="152" spans="3:16" x14ac:dyDescent="0.3">
      <c r="C152" s="82" t="s">
        <v>281</v>
      </c>
      <c r="G152" s="77">
        <f t="shared" ref="G152:P152" si="40">IF(G47="Studio",G$66,IF(G47="1 - slpk",G$67,IF(G47="2 - slpk",G$68,IF(G47="3 - slpk",G$69,0))))</f>
        <v>256602.64105642258</v>
      </c>
      <c r="H152" s="77">
        <f t="shared" si="40"/>
        <v>217968.13789501175</v>
      </c>
      <c r="I152" s="77">
        <f t="shared" si="40"/>
        <v>341073.46783403121</v>
      </c>
      <c r="J152" s="77">
        <f t="shared" si="40"/>
        <v>255135.92410144137</v>
      </c>
      <c r="K152" s="77">
        <f t="shared" si="40"/>
        <v>343720.54704234633</v>
      </c>
      <c r="L152" s="77">
        <f t="shared" si="40"/>
        <v>284066.56780359201</v>
      </c>
      <c r="M152" s="77">
        <f t="shared" si="40"/>
        <v>0</v>
      </c>
      <c r="N152" s="77">
        <f t="shared" si="40"/>
        <v>0</v>
      </c>
      <c r="O152" s="77">
        <f t="shared" si="40"/>
        <v>0</v>
      </c>
      <c r="P152" s="77">
        <f t="shared" si="40"/>
        <v>0</v>
      </c>
    </row>
    <row r="153" spans="3:16" x14ac:dyDescent="0.3">
      <c r="C153" s="82" t="s">
        <v>277</v>
      </c>
      <c r="G153" s="86">
        <f t="shared" ref="G153:P153" si="41">IF(G47="Studio",G108,IF(G47="1 - slpk",G109,IF(G47="2 - slpk",G110,IF(G47="3 - slpk",G111,0))))</f>
        <v>898.10924369747897</v>
      </c>
      <c r="H153" s="86">
        <f t="shared" si="41"/>
        <v>762.88848263254113</v>
      </c>
      <c r="I153" s="86">
        <f t="shared" si="41"/>
        <v>1193.7571374191093</v>
      </c>
      <c r="J153" s="86">
        <f t="shared" si="41"/>
        <v>892.97573435504478</v>
      </c>
      <c r="K153" s="86">
        <f t="shared" si="41"/>
        <v>1203.021914648212</v>
      </c>
      <c r="L153" s="86">
        <f t="shared" si="41"/>
        <v>994.23298731257205</v>
      </c>
      <c r="M153" s="86">
        <f t="shared" si="41"/>
        <v>0</v>
      </c>
      <c r="N153" s="86">
        <f t="shared" si="41"/>
        <v>0</v>
      </c>
      <c r="O153" s="86">
        <f t="shared" si="41"/>
        <v>0</v>
      </c>
      <c r="P153" s="86">
        <f t="shared" si="41"/>
        <v>0</v>
      </c>
    </row>
    <row r="154" spans="3:16" x14ac:dyDescent="0.3">
      <c r="C154" s="82" t="s">
        <v>282</v>
      </c>
      <c r="G154" s="55">
        <f>IF(G46="Type 1",Algemeen!$D$100,0)</f>
        <v>0</v>
      </c>
      <c r="H154" s="55">
        <f>IF(H46="Type 1",Algemeen!$D$100,0)</f>
        <v>0</v>
      </c>
      <c r="I154" s="55">
        <f>IF(I46="Type 1",Algemeen!$D$100,0)</f>
        <v>0</v>
      </c>
      <c r="J154" s="55">
        <f>IF(J46="Type 1",Algemeen!$D$100,0)</f>
        <v>0</v>
      </c>
      <c r="K154" s="55">
        <f>IF(K46="Type 1",Algemeen!$D$100,0)</f>
        <v>0</v>
      </c>
      <c r="L154" s="55">
        <f>IF(L46="Type 1",Algemeen!$D$100,0)</f>
        <v>0</v>
      </c>
      <c r="M154" s="55">
        <f>IF(M46="Type 1",Algemeen!$D$100,0)</f>
        <v>0</v>
      </c>
      <c r="N154" s="55">
        <f>IF(N46="Type 1",Algemeen!$D$100,0)</f>
        <v>0</v>
      </c>
      <c r="O154" s="55">
        <f>IF(O46="Type 1",Algemeen!$D$100,0)</f>
        <v>0</v>
      </c>
      <c r="P154" s="55">
        <f>IF(P46="Type 1",Algemeen!$D$100,0)</f>
        <v>0</v>
      </c>
    </row>
    <row r="155" spans="3:16" x14ac:dyDescent="0.3">
      <c r="C155" s="82" t="s">
        <v>283</v>
      </c>
      <c r="G155" s="55">
        <f>IF(G46="Type 2",Algemeen!$D$102,0)</f>
        <v>0</v>
      </c>
      <c r="H155" s="55">
        <f>IF(H46="Type 2",Algemeen!$D$102,0)</f>
        <v>0</v>
      </c>
      <c r="I155" s="55">
        <f>IF(I46="Type 2",Algemeen!$D$102,0)</f>
        <v>0</v>
      </c>
      <c r="J155" s="55">
        <f>IF(J46="Type 2",Algemeen!$D$102,0)</f>
        <v>0</v>
      </c>
      <c r="K155" s="55">
        <f>IF(K46="Type 2",Algemeen!$D$102,0)</f>
        <v>0</v>
      </c>
      <c r="L155" s="55">
        <f>IF(L46="Type 2",Algemeen!$D$102,0)</f>
        <v>0</v>
      </c>
      <c r="M155" s="55">
        <f>IF(M46="Type 2",Algemeen!$D$102,0)</f>
        <v>0</v>
      </c>
      <c r="N155" s="55">
        <f>IF(N46="Type 2",Algemeen!$D$102,0)</f>
        <v>0</v>
      </c>
      <c r="O155" s="55">
        <f>IF(O46="Type 2",Algemeen!$D$102,0)</f>
        <v>0</v>
      </c>
      <c r="P155" s="55">
        <f>IF(P46="Type 2",Algemeen!$D$102,0)</f>
        <v>0</v>
      </c>
    </row>
    <row r="156" spans="3:16" x14ac:dyDescent="0.3">
      <c r="C156" s="50" t="s">
        <v>233</v>
      </c>
    </row>
    <row r="157" spans="3:16" x14ac:dyDescent="0.3">
      <c r="C157" s="82" t="s">
        <v>281</v>
      </c>
      <c r="G157" s="77">
        <f t="shared" ref="G157:P157" si="42">IF(G50="Studio",G$66,IF(G50="1 - slpk",G$67,IF(G50="2 - slpk",G$68,IF(G50="3 - slpk",G$69,0))))</f>
        <v>256602.64105642258</v>
      </c>
      <c r="H157" s="77">
        <f t="shared" si="42"/>
        <v>293418.64716636197</v>
      </c>
      <c r="I157" s="77">
        <f t="shared" si="42"/>
        <v>365055.19604111154</v>
      </c>
      <c r="J157" s="77">
        <f t="shared" si="42"/>
        <v>368837.803320562</v>
      </c>
      <c r="K157" s="77">
        <f t="shared" si="42"/>
        <v>343720.54704234633</v>
      </c>
      <c r="L157" s="77">
        <f t="shared" si="42"/>
        <v>284066.56780359201</v>
      </c>
      <c r="M157" s="77">
        <f t="shared" si="42"/>
        <v>0</v>
      </c>
      <c r="N157" s="77">
        <f t="shared" si="42"/>
        <v>0</v>
      </c>
      <c r="O157" s="77">
        <f t="shared" si="42"/>
        <v>0</v>
      </c>
      <c r="P157" s="77">
        <f t="shared" si="42"/>
        <v>0</v>
      </c>
    </row>
    <row r="158" spans="3:16" x14ac:dyDescent="0.3">
      <c r="C158" s="82" t="s">
        <v>277</v>
      </c>
      <c r="G158" s="86">
        <f t="shared" ref="G158:P158" si="43">IF(G50="Studio",G108,IF(G50="1 - slpk",G109,IF(G50="2 - slpk",G110,IF(G50="3 - slpk",G111,0))))</f>
        <v>898.10924369747897</v>
      </c>
      <c r="H158" s="86">
        <f t="shared" si="43"/>
        <v>1026.965265082267</v>
      </c>
      <c r="I158" s="86">
        <f t="shared" si="43"/>
        <v>1277.6931861438904</v>
      </c>
      <c r="J158" s="86">
        <f t="shared" si="43"/>
        <v>1290.9323116219668</v>
      </c>
      <c r="K158" s="86">
        <f t="shared" si="43"/>
        <v>1203.021914648212</v>
      </c>
      <c r="L158" s="86">
        <f t="shared" si="43"/>
        <v>994.23298731257205</v>
      </c>
      <c r="M158" s="86">
        <f t="shared" si="43"/>
        <v>0</v>
      </c>
      <c r="N158" s="86">
        <f t="shared" si="43"/>
        <v>0</v>
      </c>
      <c r="O158" s="86">
        <f t="shared" si="43"/>
        <v>0</v>
      </c>
      <c r="P158" s="86">
        <f t="shared" si="43"/>
        <v>0</v>
      </c>
    </row>
    <row r="159" spans="3:16" x14ac:dyDescent="0.3">
      <c r="C159" s="82" t="s">
        <v>282</v>
      </c>
      <c r="G159" s="55">
        <f>IF(G49="Type 1",Algemeen!$D$100,0)</f>
        <v>0</v>
      </c>
      <c r="H159" s="55">
        <f>IF(H49="Type 1",Algemeen!$D$100,0)</f>
        <v>0</v>
      </c>
      <c r="I159" s="55">
        <f>IF(I49="Type 1",Algemeen!$D$100,0)</f>
        <v>0</v>
      </c>
      <c r="J159" s="55">
        <f>IF(J49="Type 1",Algemeen!$D$100,0)</f>
        <v>0</v>
      </c>
      <c r="K159" s="55">
        <f>IF(K49="Type 1",Algemeen!$D$100,0)</f>
        <v>0</v>
      </c>
      <c r="L159" s="55">
        <f>IF(L49="Type 1",Algemeen!$D$100,0)</f>
        <v>0</v>
      </c>
      <c r="M159" s="55">
        <f>IF(M49="Type 1",Algemeen!$D$100,0)</f>
        <v>0</v>
      </c>
      <c r="N159" s="55">
        <f>IF(N49="Type 1",Algemeen!$D$100,0)</f>
        <v>0</v>
      </c>
      <c r="O159" s="55">
        <f>IF(O49="Type 1",Algemeen!$D$100,0)</f>
        <v>0</v>
      </c>
      <c r="P159" s="55">
        <f>IF(P49="Type 1",Algemeen!$D$100,0)</f>
        <v>0</v>
      </c>
    </row>
    <row r="160" spans="3:16" x14ac:dyDescent="0.3">
      <c r="C160" s="82" t="s">
        <v>283</v>
      </c>
      <c r="G160" s="55">
        <f>IF(G49="Type 2",Algemeen!$D$102,0)</f>
        <v>0</v>
      </c>
      <c r="H160" s="55">
        <f>IF(H49="Type 2",Algemeen!$D$102,0)</f>
        <v>0</v>
      </c>
      <c r="I160" s="55">
        <f>IF(I49="Type 2",Algemeen!$D$102,0)</f>
        <v>0</v>
      </c>
      <c r="J160" s="55">
        <f>IF(J49="Type 2",Algemeen!$D$102,0)</f>
        <v>0</v>
      </c>
      <c r="K160" s="55">
        <f>IF(K49="Type 2",Algemeen!$D$102,0)</f>
        <v>0</v>
      </c>
      <c r="L160" s="55">
        <f>IF(L49="Type 2",Algemeen!$D$102,0)</f>
        <v>0</v>
      </c>
      <c r="M160" s="55">
        <f>IF(M49="Type 2",Algemeen!$D$102,0)</f>
        <v>0</v>
      </c>
      <c r="N160" s="55">
        <f>IF(N49="Type 2",Algemeen!$D$102,0)</f>
        <v>0</v>
      </c>
      <c r="O160" s="55">
        <f>IF(O49="Type 2",Algemeen!$D$102,0)</f>
        <v>0</v>
      </c>
      <c r="P160" s="55">
        <f>IF(P49="Type 2",Algemeen!$D$102,0)</f>
        <v>0</v>
      </c>
    </row>
    <row r="161" spans="1:16" x14ac:dyDescent="0.3">
      <c r="C161" s="50" t="s">
        <v>234</v>
      </c>
    </row>
    <row r="162" spans="1:16" x14ac:dyDescent="0.3">
      <c r="C162" s="82" t="s">
        <v>281</v>
      </c>
      <c r="G162" s="77">
        <f t="shared" ref="G162:P162" si="44">IF(G53="Studio",G$66,IF(G53="1 - slpk",G$67,IF(G53="2 - slpk",G$68,IF(G53="3 - slpk",G$69,0))))</f>
        <v>167466.9867947179</v>
      </c>
      <c r="H162" s="77">
        <f t="shared" si="44"/>
        <v>293418.64716636197</v>
      </c>
      <c r="I162" s="77">
        <f t="shared" si="44"/>
        <v>365055.19604111154</v>
      </c>
      <c r="J162" s="77">
        <f t="shared" si="44"/>
        <v>368837.803320562</v>
      </c>
      <c r="K162" s="77">
        <f t="shared" si="44"/>
        <v>343720.54704234633</v>
      </c>
      <c r="L162" s="77">
        <f t="shared" si="44"/>
        <v>284066.56780359201</v>
      </c>
      <c r="M162" s="77">
        <f t="shared" si="44"/>
        <v>0</v>
      </c>
      <c r="N162" s="77">
        <f t="shared" si="44"/>
        <v>0</v>
      </c>
      <c r="O162" s="77">
        <f t="shared" si="44"/>
        <v>0</v>
      </c>
      <c r="P162" s="77">
        <f t="shared" si="44"/>
        <v>0</v>
      </c>
    </row>
    <row r="163" spans="1:16" x14ac:dyDescent="0.3">
      <c r="C163" s="82" t="s">
        <v>277</v>
      </c>
      <c r="G163" s="86">
        <f t="shared" ref="G163:P163" si="45">IF(G53="Studio",G108,IF(G53="1 - slpk",G109,IF(G53="2 - slpk",G110,IF(G53="3 - slpk",G111,0))))</f>
        <v>586.13445378151266</v>
      </c>
      <c r="H163" s="86">
        <f t="shared" si="45"/>
        <v>1026.965265082267</v>
      </c>
      <c r="I163" s="86">
        <f t="shared" si="45"/>
        <v>1277.6931861438904</v>
      </c>
      <c r="J163" s="86">
        <f t="shared" si="45"/>
        <v>1290.9323116219668</v>
      </c>
      <c r="K163" s="86">
        <f t="shared" si="45"/>
        <v>1203.021914648212</v>
      </c>
      <c r="L163" s="86">
        <f t="shared" si="45"/>
        <v>994.23298731257205</v>
      </c>
      <c r="M163" s="86">
        <f t="shared" si="45"/>
        <v>0</v>
      </c>
      <c r="N163" s="86">
        <f t="shared" si="45"/>
        <v>0</v>
      </c>
      <c r="O163" s="86">
        <f t="shared" si="45"/>
        <v>0</v>
      </c>
      <c r="P163" s="86">
        <f t="shared" si="45"/>
        <v>0</v>
      </c>
    </row>
    <row r="164" spans="1:16" x14ac:dyDescent="0.3">
      <c r="C164" s="82" t="s">
        <v>282</v>
      </c>
      <c r="G164" s="55">
        <f>IF(G52="Type 1",Algemeen!$D$100,0)</f>
        <v>0</v>
      </c>
      <c r="H164" s="55">
        <f>IF(H52="Type 1",Algemeen!$D$100,0)</f>
        <v>0</v>
      </c>
      <c r="I164" s="55">
        <f>IF(I52="Type 1",Algemeen!$D$100,0)</f>
        <v>0</v>
      </c>
      <c r="J164" s="55">
        <f>IF(J52="Type 1",Algemeen!$D$100,0)</f>
        <v>0</v>
      </c>
      <c r="K164" s="55">
        <f>IF(K52="Type 1",Algemeen!$D$100,0)</f>
        <v>0</v>
      </c>
      <c r="L164" s="55">
        <f>IF(L52="Type 1",Algemeen!$D$100,0)</f>
        <v>0</v>
      </c>
      <c r="M164" s="55">
        <f>IF(M52="Type 1",Algemeen!$D$100,0)</f>
        <v>0</v>
      </c>
      <c r="N164" s="55">
        <f>IF(N52="Type 1",Algemeen!$D$100,0)</f>
        <v>0</v>
      </c>
      <c r="O164" s="55">
        <f>IF(O52="Type 1",Algemeen!$D$100,0)</f>
        <v>0</v>
      </c>
      <c r="P164" s="55">
        <f>IF(P52="Type 1",Algemeen!$D$100,0)</f>
        <v>0</v>
      </c>
    </row>
    <row r="165" spans="1:16" x14ac:dyDescent="0.3">
      <c r="C165" s="82" t="s">
        <v>283</v>
      </c>
      <c r="G165" s="55">
        <f>IF(G52="Type 2",Algemeen!$D$102,0)</f>
        <v>0</v>
      </c>
      <c r="H165" s="55">
        <f>IF(H52="Type 2",Algemeen!$D$102,0)</f>
        <v>0</v>
      </c>
      <c r="I165" s="55">
        <f>IF(I52="Type 2",Algemeen!$D$102,0)</f>
        <v>0</v>
      </c>
      <c r="J165" s="55">
        <f>IF(J52="Type 2",Algemeen!$D$102,0)</f>
        <v>0</v>
      </c>
      <c r="K165" s="55">
        <f>IF(K52="Type 2",Algemeen!$D$102,0)</f>
        <v>0</v>
      </c>
      <c r="L165" s="55">
        <f>IF(L52="Type 2",Algemeen!$D$102,0)</f>
        <v>0</v>
      </c>
      <c r="M165" s="55">
        <f>IF(M52="Type 2",Algemeen!$D$102,0)</f>
        <v>0</v>
      </c>
      <c r="N165" s="55">
        <f>IF(N52="Type 2",Algemeen!$D$102,0)</f>
        <v>0</v>
      </c>
      <c r="O165" s="55">
        <f>IF(O52="Type 2",Algemeen!$D$102,0)</f>
        <v>0</v>
      </c>
      <c r="P165" s="55">
        <f>IF(P52="Type 2",Algemeen!$D$102,0)</f>
        <v>0</v>
      </c>
    </row>
    <row r="166" spans="1:16" x14ac:dyDescent="0.3"/>
    <row r="167" spans="1:16" x14ac:dyDescent="0.3">
      <c r="C167" s="62" t="s">
        <v>284</v>
      </c>
    </row>
    <row r="168" spans="1:16" x14ac:dyDescent="0.3">
      <c r="C168" s="50" t="s">
        <v>285</v>
      </c>
      <c r="G168" s="55">
        <v>0.21</v>
      </c>
      <c r="H168" s="55">
        <v>0.21</v>
      </c>
      <c r="I168" s="55">
        <v>0.21</v>
      </c>
      <c r="J168" s="55">
        <v>0.21</v>
      </c>
      <c r="K168" s="55">
        <v>0.21</v>
      </c>
      <c r="L168" s="55">
        <v>0.21</v>
      </c>
      <c r="M168" s="55">
        <v>0.21</v>
      </c>
      <c r="N168" s="55">
        <v>0.21</v>
      </c>
      <c r="O168" s="55">
        <v>0.21</v>
      </c>
      <c r="P168" s="55">
        <v>0.21</v>
      </c>
    </row>
    <row r="169" spans="1:16" x14ac:dyDescent="0.3"/>
    <row r="170" spans="1:16" x14ac:dyDescent="0.3">
      <c r="A170" s="3" t="s">
        <v>198</v>
      </c>
    </row>
    <row r="171" spans="1:16" x14ac:dyDescent="0.3"/>
    <row r="172" spans="1:16" x14ac:dyDescent="0.3"/>
    <row r="173" spans="1:16" x14ac:dyDescent="0.3"/>
    <row r="174" spans="1:16" x14ac:dyDescent="0.3"/>
    <row r="175" spans="1:16" x14ac:dyDescent="0.3"/>
    <row r="176" spans="1:16" x14ac:dyDescent="0.3"/>
    <row r="178" spans="1:1" hidden="1" x14ac:dyDescent="0.3">
      <c r="A178" s="3"/>
    </row>
    <row r="179" spans="1:1" x14ac:dyDescent="0.3"/>
    <row r="180" spans="1:1" x14ac:dyDescent="0.3"/>
    <row r="181" spans="1:1" x14ac:dyDescent="0.3"/>
    <row r="182" spans="1:1" x14ac:dyDescent="0.3"/>
  </sheetData>
  <dataValidations count="6">
    <dataValidation type="list" allowBlank="1" showInputMessage="1" showErrorMessage="1" sqref="G100:P100" xr:uid="{0291A8A8-AECB-4BF0-9812-9D6687B6B8C2}">
      <formula1>"Ja,Neen"</formula1>
    </dataValidation>
    <dataValidation type="list" allowBlank="1" showInputMessage="1" showErrorMessage="1" sqref="G50:P50 G44:P44 G53:P53 G35:P35 G32:P32 G47:P47 G38:P38 G29:P29 G41:P41 G26:P26" xr:uid="{E7532B54-0F46-4CCD-824B-8107665A775A}">
      <formula1>"Studio,1 - slpk,2 - slpk,3 - slpk"</formula1>
    </dataValidation>
    <dataValidation type="list" allowBlank="1" showInputMessage="1" showErrorMessage="1" sqref="G28:P28 G43:P43 G52:P52 G34:P34 G49:P49 G31:P31 G37:P37 G46:P46 G40:P40 G25:P25" xr:uid="{1142A114-70A2-46E6-A3A8-682618861D53}">
      <formula1>"Type 1,Type 2,Type 3"</formula1>
    </dataValidation>
    <dataValidation type="list" allowBlank="1" showInputMessage="1" showErrorMessage="1" sqref="G77:P77" xr:uid="{C5EC8B29-8799-4033-8A51-ACD9F564E2E9}">
      <formula1>"Share Deal,Asset Deal,n/a"</formula1>
    </dataValidation>
    <dataValidation type="list" allowBlank="1" showInputMessage="1" showErrorMessage="1" sqref="G74:P74" xr:uid="{71FB1882-D936-4E0C-8554-EFFCB093796A}">
      <formula1>"Erfpacht,Volle eigendom"</formula1>
    </dataValidation>
    <dataValidation type="list" allowBlank="1" showInputMessage="1" showErrorMessage="1" sqref="G82:P82" xr:uid="{94233831-1B4B-40FA-90D3-D47B41E4CB64}">
      <formula1>"JA,NEEN"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e20967-da9b-4958-aeab-a7f51a0966d6" xsi:nil="true"/>
    <VITOOpportunity xmlns="1ce20967-da9b-4958-aeab-a7f51a0966d6" xsi:nil="true"/>
    <VITOProject xmlns="1ce20967-da9b-4958-aeab-a7f51a0966d6" xsi:nil="true"/>
    <VITOContactCompany xmlns="1ce20967-da9b-4958-aeab-a7f51a0966d6" xsi:nil="true"/>
    <VITOTeam xmlns="1ce20967-da9b-4958-aeab-a7f51a0966d6">
      <Value>Contractadministratie</Value>
    </VITOTeam>
    <VITODocumentType xmlns="1ce20967-da9b-4958-aeab-a7f51a0966d6" xsi:nil="true"/>
    <lcf76f155ced4ddcb4097134ff3c332f xmlns="8db6cf36-d783-4ed8-936d-d195b957231e">
      <Terms xmlns="http://schemas.microsoft.com/office/infopath/2007/PartnerControls"/>
    </lcf76f155ced4ddcb4097134ff3c332f>
    <VITOUnit xmlns="1ce20967-da9b-4958-aeab-a7f51a0966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6789E8E72D44CA1BA5EDD2F3AC984" ma:contentTypeVersion="16" ma:contentTypeDescription="Create a new document." ma:contentTypeScope="" ma:versionID="9438f4e6d725c4db6cecba5a34b2e71e">
  <xsd:schema xmlns:xsd="http://www.w3.org/2001/XMLSchema" xmlns:xs="http://www.w3.org/2001/XMLSchema" xmlns:p="http://schemas.microsoft.com/office/2006/metadata/properties" xmlns:ns2="1ce20967-da9b-4958-aeab-a7f51a0966d6" xmlns:ns3="8db6cf36-d783-4ed8-936d-d195b957231e" targetNamespace="http://schemas.microsoft.com/office/2006/metadata/properties" ma:root="true" ma:fieldsID="d248d6c9b4b5c07615d3af6362be9824" ns2:_="" ns3:_="">
    <xsd:import namespace="1ce20967-da9b-4958-aeab-a7f51a0966d6"/>
    <xsd:import namespace="8db6cf36-d783-4ed8-936d-d195b957231e"/>
    <xsd:element name="properties">
      <xsd:complexType>
        <xsd:sequence>
          <xsd:element name="documentManagement">
            <xsd:complexType>
              <xsd:all>
                <xsd:element ref="ns2:VITODocumentType" minOccurs="0"/>
                <xsd:element ref="ns2:VITOTeam" minOccurs="0"/>
                <xsd:element ref="ns2:VITOOpportunity" minOccurs="0"/>
                <xsd:element ref="ns2:VITOProject" minOccurs="0"/>
                <xsd:element ref="ns2:VITOContactCompany" minOccurs="0"/>
                <xsd:element ref="ns2:VITOUnit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20967-da9b-4958-aeab-a7f51a0966d6" elementFormDefault="qualified">
    <xsd:import namespace="http://schemas.microsoft.com/office/2006/documentManagement/types"/>
    <xsd:import namespace="http://schemas.microsoft.com/office/infopath/2007/PartnerControls"/>
    <xsd:element name="VITODocumentType" ma:index="8" nillable="true" ma:displayName="Document Type" ma:default="" ma:internalName="VITODocumentType">
      <xsd:simpleType>
        <xsd:union memberTypes="dms:Text">
          <xsd:simpleType>
            <xsd:restriction base="dms:Choice"/>
          </xsd:simpleType>
        </xsd:union>
      </xsd:simpleType>
    </xsd:element>
    <xsd:element name="VITOTeam" ma:index="9" nillable="true" ma:displayName="Team" ma:default="Contractadministratie" ma:internalName="VITOTeam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Opportunity" ma:index="10" nillable="true" ma:displayName="Opportunity" ma:default="" ma:internalName="VITOOpportunit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Project" ma:index="11" nillable="true" ma:displayName="Project" ma:default="" ma:internalName="VITOProjec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ContactCompany" ma:index="12" nillable="true" ma:displayName="Contact Company" ma:default="" ma:internalName="VITOContactCompan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Unit" ma:index="13" nillable="true" ma:displayName="Unit" ma:default="" ma:internalName="VITOUni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e231c6-2bd1-4ce9-8cce-f9a3ccd5657c}" ma:internalName="TaxCatchAll" ma:showField="CatchAllData" ma:web="1ce20967-da9b-4958-aeab-a7f51a096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6cf36-d783-4ed8-936d-d195b95723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20e29d-4d9b-411e-9260-307e9281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50E5F-4758-4B72-A417-E04957DD8F55}">
  <ds:schemaRefs>
    <ds:schemaRef ds:uri="http://schemas.microsoft.com/office/2006/metadata/properties"/>
    <ds:schemaRef ds:uri="http://schemas.microsoft.com/office/infopath/2007/PartnerControls"/>
    <ds:schemaRef ds:uri="1ce20967-da9b-4958-aeab-a7f51a0966d6"/>
    <ds:schemaRef ds:uri="8db6cf36-d783-4ed8-936d-d195b957231e"/>
  </ds:schemaRefs>
</ds:datastoreItem>
</file>

<file path=customXml/itemProps2.xml><?xml version="1.0" encoding="utf-8"?>
<ds:datastoreItem xmlns:ds="http://schemas.openxmlformats.org/officeDocument/2006/customXml" ds:itemID="{F8C972EF-4739-42BD-8857-B76A4901DB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E5F21-6BE9-48CC-AFFD-829E74C9A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20967-da9b-4958-aeab-a7f51a0966d6"/>
    <ds:schemaRef ds:uri="8db6cf36-d783-4ed8-936d-d195b9572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Input&gt;&gt;</vt:lpstr>
      <vt:lpstr>Algemeen</vt:lpstr>
      <vt:lpstr>Projecten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Scheldeman, Sander</dc:creator>
  <cp:keywords/>
  <dc:description/>
  <cp:lastModifiedBy>Andrea Van Acker</cp:lastModifiedBy>
  <cp:revision/>
  <dcterms:created xsi:type="dcterms:W3CDTF">2024-06-03T12:08:07Z</dcterms:created>
  <dcterms:modified xsi:type="dcterms:W3CDTF">2025-12-18T14:11:52Z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2024-06-03T12:08:08Z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2d1c1c13-8442-4a40-8fc7-7f968bb44597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0x0101004246789E8E72D44CA1BA5EDD2F3AC984</vt:lpwstr>
  </property>
  <property fmtid="{D5CDD505-2E9C-101B-9397-08002B2CF9AE}" pid="10" name="MediaServiceImageTags">
    <vt:lpwstr/>
  </property>
</Properties>
</file>